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chartsheets/sheet1.xml" ContentType="application/vnd.openxmlformats-officedocument.spreadsheetml.chart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15" windowWidth="15480" windowHeight="11760" activeTab="0"/>
  </bookViews>
  <sheets>
    <sheet name="Simulation" sheetId="1" r:id="rId1"/>
    <sheet name="Diagramm" sheetId="2" r:id="rId2"/>
  </sheets>
  <definedNames/>
  <calcPr fullCalcOnLoad="1"/>
</workbook>
</file>

<file path=xl/comments1.xml><?xml version="1.0" encoding="utf-8"?>
<comments xmlns="http://schemas.openxmlformats.org/spreadsheetml/2006/main">
  <authors>
    <author>Doris Haydn</author>
  </authors>
  <commentList>
    <comment ref="O9" authorId="0">
      <text>
        <r>
          <rPr>
            <b/>
            <sz val="12"/>
            <rFont val="Arial"/>
            <family val="2"/>
          </rPr>
          <t xml:space="preserve">Zusätzliche Einzahlungen des Kunden pro Jahr (werden gleichmäßig auf das ganze Jahr verteilt)
</t>
        </r>
      </text>
    </comment>
    <comment ref="D10" authorId="0">
      <text>
        <r>
          <rPr>
            <b/>
            <sz val="12"/>
            <rFont val="Arial"/>
            <family val="2"/>
          </rPr>
          <t>Darlehensbetrag</t>
        </r>
      </text>
    </comment>
    <comment ref="G10" authorId="0">
      <text>
        <r>
          <rPr>
            <b/>
            <sz val="12"/>
            <rFont val="Arial"/>
            <family val="2"/>
          </rPr>
          <t>Darlehensbetrag</t>
        </r>
      </text>
    </comment>
  </commentList>
</comments>
</file>

<file path=xl/sharedStrings.xml><?xml version="1.0" encoding="utf-8"?>
<sst xmlns="http://schemas.openxmlformats.org/spreadsheetml/2006/main" count="43" uniqueCount="32">
  <si>
    <t>Jahr</t>
  </si>
  <si>
    <t>Zinsen p.m.</t>
  </si>
  <si>
    <t>Zinssatz p.a.</t>
  </si>
  <si>
    <t>Restschuld per Jahresende</t>
  </si>
  <si>
    <t>Laufzeit in Monaten</t>
  </si>
  <si>
    <t>Zusätzliche Einzahlung pro Jahr</t>
  </si>
  <si>
    <t>Ersparnis Zinsen</t>
  </si>
  <si>
    <t>Haftungsausschluss: Dieses Berechnungprogramm dient der Unterstützung bei der Planung und kann eine persönliche Beratung nicht ersetzen. Es liegt am Nutzer, realistische Planungsannahmen zu treffen. Eine Haftung für die Richtigkeit der Berechnung und für den Eintritt der vom Nutzer getroffenen Annahmen kann nicht übernommen werden.</t>
  </si>
  <si>
    <t>Restschuld per Jahresende inkl. Zusatzeinzahlung</t>
  </si>
  <si>
    <t>Plan-Restschuld per Jahresende</t>
  </si>
  <si>
    <t>Kreditrate ohne Berücksichtung Zusatzeinahlung</t>
  </si>
  <si>
    <t>Sämtliche Ratenberechnungen erfolgen ohne Berücksichtigung von Kontoführungsgebühren.</t>
  </si>
  <si>
    <t>Zinsatz 15 Jahre fix</t>
  </si>
  <si>
    <t>Zinssatz variabel</t>
  </si>
  <si>
    <t>Planrechnung Zinssatz fix</t>
  </si>
  <si>
    <t>Rate monatlich</t>
  </si>
  <si>
    <t>Planrechnung Zinssatz variabel</t>
  </si>
  <si>
    <t>Kreditbetrag</t>
  </si>
  <si>
    <t>Simulation Zinssatz variabel</t>
  </si>
  <si>
    <t>Rate Zinssatz fix</t>
  </si>
  <si>
    <t>Rate Zinssatz variabel</t>
  </si>
  <si>
    <t>Gegenüberstellung Simulation zu Zinssatz fix</t>
  </si>
  <si>
    <t>Stand: 09/2017</t>
  </si>
  <si>
    <t>Differenz fix zu variabel nach 10 Jahren 4)</t>
  </si>
  <si>
    <t>Differenz fix zu variabel nach 15 Jahren 4)</t>
  </si>
  <si>
    <t>Differenz fix zu Sim variabel 3)</t>
  </si>
  <si>
    <r>
      <rPr>
        <b/>
        <sz val="10"/>
        <rFont val="Arial"/>
        <family val="2"/>
      </rPr>
      <t>3)</t>
    </r>
    <r>
      <rPr>
        <sz val="10"/>
        <rFont val="Arial"/>
        <family val="2"/>
      </rPr>
      <t xml:space="preserve">
</t>
    </r>
    <r>
      <rPr>
        <b/>
        <sz val="10"/>
        <rFont val="Arial"/>
        <family val="2"/>
      </rPr>
      <t xml:space="preserve">Differenz fix zu Simulation variabel = Gesamtaufwand fixer Zinssatz - Gesamtaufwand Simulation Zinssatz variabel. </t>
    </r>
    <r>
      <rPr>
        <sz val="10"/>
        <rFont val="Arial"/>
        <family val="2"/>
      </rPr>
      <t>Ist die Differenz positiv ist der simulierte Zinssatz variabel bis zu diesem Jahresende günstiger. Ist die Differenz negativ ist der simulierte Zinssatz variabel teurer.</t>
    </r>
  </si>
  <si>
    <t>Ratenaufwand kumuliert 1)</t>
  </si>
  <si>
    <r>
      <rPr>
        <b/>
        <sz val="10"/>
        <rFont val="Arial"/>
        <family val="2"/>
      </rPr>
      <t xml:space="preserve">1) </t>
    </r>
    <r>
      <rPr>
        <sz val="10"/>
        <rFont val="Arial"/>
        <family val="2"/>
      </rPr>
      <t xml:space="preserve">
</t>
    </r>
    <r>
      <rPr>
        <b/>
        <sz val="10"/>
        <rFont val="Arial"/>
        <family val="2"/>
      </rPr>
      <t>Ratenaufwand kumuliert = Ratensumme pro Jahr + Ratensumme der Vorjahre.</t>
    </r>
    <r>
      <rPr>
        <sz val="10"/>
        <rFont val="Arial"/>
        <family val="2"/>
      </rPr>
      <t xml:space="preserve"> Ohne Ab- oder Aufzinsung und ohne Kontoführungsgebühr</t>
    </r>
  </si>
  <si>
    <t>Gesamt-aufwand 2)</t>
  </si>
  <si>
    <r>
      <rPr>
        <b/>
        <sz val="10"/>
        <rFont val="Arial"/>
        <family val="2"/>
      </rPr>
      <t xml:space="preserve">2)
Gesamtaufwand per Jahresende = Ratenaufwand kumuliert + Restschuld per Jahresende. </t>
    </r>
    <r>
      <rPr>
        <sz val="10"/>
        <rFont val="Arial"/>
        <family val="2"/>
      </rPr>
      <t xml:space="preserve">
Würde der Kunde mit Jahresende seinen Kredit zurückzahlen, dann hat er den Gesamtaufwand in Summe geleistet (Ratenzahlung + aushaftendes Kapital)</t>
    </r>
  </si>
  <si>
    <r>
      <rPr>
        <b/>
        <sz val="10"/>
        <rFont val="Arial"/>
        <family val="2"/>
      </rPr>
      <t>4)</t>
    </r>
    <r>
      <rPr>
        <sz val="10"/>
        <rFont val="Arial"/>
        <family val="2"/>
      </rPr>
      <t xml:space="preserve">
</t>
    </r>
    <r>
      <rPr>
        <b/>
        <sz val="10"/>
        <rFont val="Arial"/>
        <family val="2"/>
      </rPr>
      <t xml:space="preserve">Differenz fix zu variabel = Gesamtaufwand fixer Zinssatz - Gesamtaufwand Zinssatz variabel. </t>
    </r>
    <r>
      <rPr>
        <sz val="10"/>
        <rFont val="Arial"/>
        <family val="2"/>
      </rPr>
      <t>Die Berechnung erfolgt einmal nach 10 Jahren Laufzeit und einmal nach 15 Jahren Laufzeit auf Basis gleichbleibender Zinsen.</t>
    </r>
  </si>
</sst>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
    <numFmt numFmtId="165" formatCode="0.000%"/>
    <numFmt numFmtId="166" formatCode="_-* #,##0.000_-;\-* #,##0.000_-;_-* &quot;-&quot;??_-;_-@_-"/>
    <numFmt numFmtId="167" formatCode="_-* #,##0.0000_-;\-* #,##0.0000_-;_-* &quot;-&quot;??_-;_-@_-"/>
    <numFmt numFmtId="168" formatCode="#,##0.00_ ;[Red]\-#,##0.00\ "/>
    <numFmt numFmtId="169" formatCode="#,##0.00_ ;\-#,##0.00\ "/>
    <numFmt numFmtId="170" formatCode="#,##0.000_ ;\-#,##0.000\ "/>
    <numFmt numFmtId="171" formatCode="#,##0.0000_ ;\-#,##0.0000\ "/>
    <numFmt numFmtId="172" formatCode="0.00_ ;[Red]\-0.00\ "/>
    <numFmt numFmtId="173" formatCode="#,##0.0_ ;[Red]\-#,##0.0\ "/>
    <numFmt numFmtId="174" formatCode="#,##0_ ;[Red]\-#,##0\ "/>
    <numFmt numFmtId="175" formatCode="_-* #,##0.0_-;\-* #,##0.0_-;_-* &quot;-&quot;??_-;_-@_-"/>
    <numFmt numFmtId="176" formatCode="_-* #,##0_-;\-* #,##0_-;_-* &quot;-&quot;??_-;_-@_-"/>
    <numFmt numFmtId="177" formatCode="_-* #,##0.000_-;\-* #,##0.000_-;_-* &quot;-&quot;???_-;_-@_-"/>
    <numFmt numFmtId="178" formatCode="0.0"/>
    <numFmt numFmtId="179" formatCode="_(* #,##0.00_);_(* \(#,##0.00\);_(* &quot;-&quot;??_);_(@_)"/>
  </numFmts>
  <fonts count="41">
    <font>
      <sz val="10"/>
      <name val="Arial"/>
      <family val="0"/>
    </font>
    <font>
      <b/>
      <sz val="10"/>
      <name val="Arial"/>
      <family val="2"/>
    </font>
    <font>
      <b/>
      <sz val="20"/>
      <name val="Arial"/>
      <family val="2"/>
    </font>
    <font>
      <b/>
      <sz val="12"/>
      <name val="Arial"/>
      <family val="2"/>
    </font>
    <font>
      <sz val="10"/>
      <color indexed="8"/>
      <name val="Calibri"/>
      <family val="0"/>
    </font>
    <font>
      <sz val="9.2"/>
      <color indexed="8"/>
      <name val="Calibri"/>
      <family val="0"/>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theme="2"/>
        <bgColor indexed="64"/>
      </patternFill>
    </fill>
    <fill>
      <patternFill patternType="solid">
        <fgColor indexed="22"/>
        <bgColor indexed="64"/>
      </patternFill>
    </fill>
    <fill>
      <patternFill patternType="solid">
        <fgColor theme="0" tint="-0.3499799966812134"/>
        <bgColor indexed="64"/>
      </patternFill>
    </fill>
  </fills>
  <borders count="49">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color indexed="63"/>
      </right>
      <top style="thin"/>
      <bottom style="thin"/>
    </border>
    <border>
      <left style="thin"/>
      <right style="thin"/>
      <top>
        <color indexed="63"/>
      </top>
      <bottom style="thin"/>
    </border>
    <border>
      <left style="thin"/>
      <right style="thin"/>
      <top style="thin"/>
      <bottom style="medium"/>
    </border>
    <border>
      <left style="thin"/>
      <right style="medium"/>
      <top>
        <color indexed="63"/>
      </top>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medium"/>
      <top style="medium"/>
      <bottom style="thin"/>
    </border>
    <border>
      <left style="medium"/>
      <right>
        <color indexed="63"/>
      </right>
      <top style="medium"/>
      <bottom style="thin"/>
    </border>
    <border>
      <left>
        <color indexed="63"/>
      </left>
      <right style="medium"/>
      <top style="medium"/>
      <bottom style="thin"/>
    </border>
    <border>
      <left style="medium"/>
      <right>
        <color indexed="63"/>
      </right>
      <top style="thin"/>
      <bottom style="medium"/>
    </border>
    <border>
      <left style="thin"/>
      <right>
        <color indexed="63"/>
      </right>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style="medium"/>
      <bottom>
        <color indexed="63"/>
      </bottom>
    </border>
    <border>
      <left>
        <color indexed="63"/>
      </left>
      <right style="medium"/>
      <top style="medium"/>
      <bottom>
        <color indexed="63"/>
      </bottom>
    </border>
    <border>
      <left style="medium"/>
      <right>
        <color indexed="63"/>
      </right>
      <top style="medium"/>
      <bottom>
        <color indexed="63"/>
      </bottom>
    </border>
    <border>
      <left style="medium"/>
      <right style="thin"/>
      <top>
        <color indexed="63"/>
      </top>
      <bottom style="thin"/>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style="thin"/>
      <bottom style="thin"/>
    </border>
    <border>
      <left style="medium"/>
      <right>
        <color indexed="63"/>
      </right>
      <top>
        <color indexed="63"/>
      </top>
      <bottom style="double"/>
    </border>
    <border>
      <left>
        <color indexed="63"/>
      </left>
      <right>
        <color indexed="63"/>
      </right>
      <top>
        <color indexed="63"/>
      </top>
      <bottom style="double"/>
    </border>
    <border>
      <left>
        <color indexed="63"/>
      </left>
      <right style="medium"/>
      <top>
        <color indexed="63"/>
      </top>
      <bottom style="double"/>
    </border>
    <border>
      <left>
        <color indexed="63"/>
      </left>
      <right style="medium"/>
      <top style="thin"/>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color indexed="63"/>
      </top>
      <bottom style="medium"/>
    </border>
    <border>
      <left style="thin"/>
      <right>
        <color indexed="63"/>
      </right>
      <top>
        <color indexed="63"/>
      </top>
      <bottom style="thin"/>
    </border>
    <border>
      <left>
        <color indexed="63"/>
      </left>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1" applyNumberFormat="0" applyAlignment="0" applyProtection="0"/>
    <xf numFmtId="0" fontId="26" fillId="26" borderId="2" applyNumberFormat="0" applyAlignment="0" applyProtection="0"/>
    <xf numFmtId="41" fontId="0" fillId="0" borderId="0" applyFont="0" applyFill="0" applyBorder="0" applyAlignment="0" applyProtection="0"/>
    <xf numFmtId="0" fontId="27" fillId="27"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30" fillId="28" borderId="0" applyNumberFormat="0" applyBorder="0" applyAlignment="0" applyProtection="0"/>
    <xf numFmtId="43" fontId="0" fillId="0" borderId="0" applyFont="0" applyFill="0" applyBorder="0" applyAlignment="0" applyProtection="0"/>
    <xf numFmtId="0" fontId="31"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32" fillId="31" borderId="0" applyNumberFormat="0" applyBorder="0" applyAlignment="0" applyProtection="0"/>
    <xf numFmtId="0" fontId="33" fillId="0" borderId="0" applyNumberForma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32" borderId="9" applyNumberFormat="0" applyAlignment="0" applyProtection="0"/>
  </cellStyleXfs>
  <cellXfs count="113">
    <xf numFmtId="0" fontId="0" fillId="0" borderId="0" xfId="0" applyAlignment="1">
      <alignment/>
    </xf>
    <xf numFmtId="0" fontId="0" fillId="0" borderId="0" xfId="0" applyAlignment="1" applyProtection="1">
      <alignment/>
      <protection/>
    </xf>
    <xf numFmtId="0" fontId="1" fillId="0" borderId="0" xfId="0" applyFont="1" applyFill="1" applyBorder="1" applyAlignment="1" applyProtection="1">
      <alignment wrapText="1"/>
      <protection/>
    </xf>
    <xf numFmtId="8" fontId="0" fillId="0" borderId="0" xfId="46" applyNumberFormat="1" applyFont="1" applyBorder="1" applyAlignment="1" applyProtection="1">
      <alignment vertical="center"/>
      <protection/>
    </xf>
    <xf numFmtId="43" fontId="0" fillId="0" borderId="0" xfId="0" applyNumberFormat="1" applyFill="1" applyBorder="1" applyAlignment="1" applyProtection="1">
      <alignment vertical="center"/>
      <protection/>
    </xf>
    <xf numFmtId="0" fontId="0" fillId="0" borderId="0" xfId="0" applyFont="1" applyAlignment="1" applyProtection="1">
      <alignment/>
      <protection/>
    </xf>
    <xf numFmtId="168" fontId="0" fillId="0" borderId="0" xfId="0" applyNumberFormat="1" applyAlignment="1" applyProtection="1">
      <alignment/>
      <protection/>
    </xf>
    <xf numFmtId="43" fontId="0" fillId="0" borderId="0" xfId="0" applyNumberFormat="1" applyAlignment="1" applyProtection="1">
      <alignment/>
      <protection/>
    </xf>
    <xf numFmtId="0" fontId="0" fillId="0" borderId="10" xfId="0" applyFont="1" applyFill="1" applyBorder="1" applyAlignment="1" applyProtection="1">
      <alignment/>
      <protection/>
    </xf>
    <xf numFmtId="43" fontId="0" fillId="6" borderId="10" xfId="46" applyFont="1" applyFill="1" applyBorder="1" applyAlignment="1" applyProtection="1">
      <alignment horizontal="center" vertical="center"/>
      <protection locked="0"/>
    </xf>
    <xf numFmtId="165" fontId="0" fillId="6" borderId="10" xfId="49" applyNumberFormat="1" applyFont="1" applyFill="1" applyBorder="1" applyAlignment="1" applyProtection="1">
      <alignment horizontal="center" vertical="center"/>
      <protection locked="0"/>
    </xf>
    <xf numFmtId="0" fontId="0" fillId="6" borderId="10" xfId="0" applyFill="1" applyBorder="1" applyAlignment="1" applyProtection="1">
      <alignment horizontal="center" vertical="center"/>
      <protection locked="0"/>
    </xf>
    <xf numFmtId="165" fontId="0" fillId="6" borderId="11" xfId="0" applyNumberFormat="1" applyFill="1" applyBorder="1" applyAlignment="1" applyProtection="1">
      <alignment/>
      <protection locked="0"/>
    </xf>
    <xf numFmtId="0" fontId="0" fillId="4" borderId="12" xfId="0" applyFill="1" applyBorder="1" applyAlignment="1" applyProtection="1">
      <alignment/>
      <protection/>
    </xf>
    <xf numFmtId="0" fontId="0" fillId="4" borderId="10" xfId="0" applyFill="1" applyBorder="1" applyAlignment="1" applyProtection="1">
      <alignment/>
      <protection/>
    </xf>
    <xf numFmtId="43" fontId="0" fillId="4" borderId="10" xfId="46" applyFont="1" applyFill="1" applyBorder="1" applyAlignment="1" applyProtection="1">
      <alignment/>
      <protection/>
    </xf>
    <xf numFmtId="168" fontId="0" fillId="4" borderId="10" xfId="0" applyNumberFormat="1" applyFill="1" applyBorder="1" applyAlignment="1" applyProtection="1">
      <alignment/>
      <protection/>
    </xf>
    <xf numFmtId="43" fontId="0" fillId="4" borderId="13" xfId="46" applyFont="1" applyFill="1" applyBorder="1" applyAlignment="1" applyProtection="1">
      <alignment/>
      <protection/>
    </xf>
    <xf numFmtId="168" fontId="0" fillId="4" borderId="13" xfId="0" applyNumberFormat="1" applyFill="1" applyBorder="1" applyAlignment="1" applyProtection="1">
      <alignment/>
      <protection/>
    </xf>
    <xf numFmtId="0" fontId="1" fillId="4" borderId="14" xfId="0" applyFont="1" applyFill="1" applyBorder="1" applyAlignment="1" applyProtection="1">
      <alignment/>
      <protection/>
    </xf>
    <xf numFmtId="43" fontId="1" fillId="4" borderId="15" xfId="0" applyNumberFormat="1" applyFont="1" applyFill="1" applyBorder="1" applyAlignment="1" applyProtection="1">
      <alignment/>
      <protection/>
    </xf>
    <xf numFmtId="43" fontId="1" fillId="4" borderId="16" xfId="0" applyNumberFormat="1" applyFont="1" applyFill="1" applyBorder="1" applyAlignment="1" applyProtection="1">
      <alignment/>
      <protection/>
    </xf>
    <xf numFmtId="0" fontId="0" fillId="4" borderId="17" xfId="0" applyFill="1" applyBorder="1" applyAlignment="1" applyProtection="1">
      <alignment/>
      <protection/>
    </xf>
    <xf numFmtId="0" fontId="0" fillId="4" borderId="18" xfId="0" applyFill="1" applyBorder="1" applyAlignment="1" applyProtection="1">
      <alignment/>
      <protection/>
    </xf>
    <xf numFmtId="43" fontId="0" fillId="4" borderId="19" xfId="46" applyFont="1" applyFill="1" applyBorder="1" applyAlignment="1" applyProtection="1">
      <alignment/>
      <protection/>
    </xf>
    <xf numFmtId="43" fontId="0" fillId="4" borderId="19" xfId="0" applyNumberFormat="1" applyFill="1" applyBorder="1" applyAlignment="1" applyProtection="1">
      <alignment/>
      <protection/>
    </xf>
    <xf numFmtId="43" fontId="0" fillId="4" borderId="20" xfId="0" applyNumberFormat="1" applyFill="1" applyBorder="1" applyAlignment="1" applyProtection="1">
      <alignment/>
      <protection/>
    </xf>
    <xf numFmtId="0" fontId="0" fillId="4" borderId="21" xfId="0" applyFill="1" applyBorder="1" applyAlignment="1" applyProtection="1">
      <alignment/>
      <protection/>
    </xf>
    <xf numFmtId="10" fontId="0" fillId="0" borderId="0" xfId="0" applyNumberFormat="1" applyAlignment="1" applyProtection="1">
      <alignment/>
      <protection/>
    </xf>
    <xf numFmtId="165" fontId="0" fillId="33" borderId="0" xfId="49" applyNumberFormat="1" applyFont="1" applyFill="1" applyBorder="1" applyAlignment="1" applyProtection="1">
      <alignment horizontal="center" vertical="center"/>
      <protection/>
    </xf>
    <xf numFmtId="165" fontId="0" fillId="0" borderId="0" xfId="49" applyNumberFormat="1" applyFont="1" applyFill="1" applyBorder="1" applyAlignment="1" applyProtection="1">
      <alignment horizontal="center" vertical="center"/>
      <protection/>
    </xf>
    <xf numFmtId="0" fontId="2" fillId="0" borderId="0" xfId="0" applyFont="1" applyAlignment="1" applyProtection="1">
      <alignment/>
      <protection/>
    </xf>
    <xf numFmtId="0" fontId="1" fillId="34" borderId="10" xfId="0" applyFont="1" applyFill="1" applyBorder="1" applyAlignment="1" applyProtection="1">
      <alignment wrapText="1"/>
      <protection/>
    </xf>
    <xf numFmtId="168" fontId="1" fillId="0" borderId="10" xfId="0" applyNumberFormat="1" applyFont="1" applyFill="1" applyBorder="1" applyAlignment="1" applyProtection="1">
      <alignment wrapText="1"/>
      <protection/>
    </xf>
    <xf numFmtId="0" fontId="2" fillId="0" borderId="0" xfId="0" applyFont="1" applyBorder="1" applyAlignment="1" applyProtection="1">
      <alignment/>
      <protection/>
    </xf>
    <xf numFmtId="9" fontId="0" fillId="0" borderId="0" xfId="0" applyNumberFormat="1" applyFill="1" applyBorder="1" applyAlignment="1" applyProtection="1">
      <alignment vertical="center"/>
      <protection/>
    </xf>
    <xf numFmtId="0" fontId="0" fillId="33" borderId="0" xfId="0" applyFill="1" applyBorder="1" applyAlignment="1" applyProtection="1">
      <alignment horizontal="center" vertical="center"/>
      <protection/>
    </xf>
    <xf numFmtId="0" fontId="0" fillId="0" borderId="0" xfId="0" applyFill="1" applyBorder="1" applyAlignment="1" applyProtection="1">
      <alignment horizontal="center" vertical="center"/>
      <protection/>
    </xf>
    <xf numFmtId="0" fontId="1" fillId="34" borderId="22" xfId="0" applyFont="1" applyFill="1" applyBorder="1" applyAlignment="1" applyProtection="1">
      <alignment/>
      <protection/>
    </xf>
    <xf numFmtId="0" fontId="1" fillId="34" borderId="23" xfId="0" applyFont="1" applyFill="1" applyBorder="1" applyAlignment="1" applyProtection="1">
      <alignment/>
      <protection/>
    </xf>
    <xf numFmtId="0" fontId="1" fillId="34" borderId="24" xfId="0" applyFont="1" applyFill="1" applyBorder="1" applyAlignment="1" applyProtection="1">
      <alignment/>
      <protection/>
    </xf>
    <xf numFmtId="0" fontId="1" fillId="34" borderId="20" xfId="0" applyFont="1" applyFill="1" applyBorder="1" applyAlignment="1" applyProtection="1">
      <alignment/>
      <protection/>
    </xf>
    <xf numFmtId="0" fontId="1" fillId="34" borderId="13" xfId="0" applyFont="1" applyFill="1" applyBorder="1" applyAlignment="1" applyProtection="1">
      <alignment/>
      <protection/>
    </xf>
    <xf numFmtId="0" fontId="1" fillId="34" borderId="16" xfId="0" applyFont="1" applyFill="1" applyBorder="1" applyAlignment="1" applyProtection="1">
      <alignment wrapText="1"/>
      <protection/>
    </xf>
    <xf numFmtId="0" fontId="1" fillId="34" borderId="25" xfId="0" applyFont="1" applyFill="1" applyBorder="1" applyAlignment="1" applyProtection="1">
      <alignment wrapText="1"/>
      <protection/>
    </xf>
    <xf numFmtId="0" fontId="1" fillId="35" borderId="26" xfId="0" applyFont="1" applyFill="1" applyBorder="1" applyAlignment="1" applyProtection="1">
      <alignment/>
      <protection/>
    </xf>
    <xf numFmtId="0" fontId="1" fillId="35" borderId="27" xfId="0" applyFont="1" applyFill="1" applyBorder="1" applyAlignment="1" applyProtection="1">
      <alignment/>
      <protection/>
    </xf>
    <xf numFmtId="0" fontId="1" fillId="35" borderId="27" xfId="0" applyFont="1" applyFill="1" applyBorder="1" applyAlignment="1" applyProtection="1">
      <alignment wrapText="1"/>
      <protection/>
    </xf>
    <xf numFmtId="0" fontId="1" fillId="35" borderId="27" xfId="0" applyFont="1" applyFill="1" applyBorder="1" applyAlignment="1" applyProtection="1">
      <alignment horizontal="center" wrapText="1"/>
      <protection/>
    </xf>
    <xf numFmtId="0" fontId="1" fillId="35" borderId="28" xfId="0" applyFont="1" applyFill="1" applyBorder="1" applyAlignment="1" applyProtection="1">
      <alignment horizontal="center" wrapText="1"/>
      <protection/>
    </xf>
    <xf numFmtId="0" fontId="1" fillId="35" borderId="26" xfId="0" applyFont="1" applyFill="1" applyBorder="1" applyAlignment="1" applyProtection="1">
      <alignment horizontal="center" wrapText="1"/>
      <protection/>
    </xf>
    <xf numFmtId="0" fontId="1" fillId="35" borderId="29" xfId="0" applyFont="1" applyFill="1" applyBorder="1" applyAlignment="1" applyProtection="1">
      <alignment horizontal="center" wrapText="1"/>
      <protection/>
    </xf>
    <xf numFmtId="0" fontId="1" fillId="3" borderId="30" xfId="0" applyFont="1" applyFill="1" applyBorder="1" applyAlignment="1" applyProtection="1">
      <alignment horizontal="center" wrapText="1"/>
      <protection/>
    </xf>
    <xf numFmtId="0" fontId="0" fillId="4" borderId="31" xfId="0" applyFill="1" applyBorder="1" applyAlignment="1" applyProtection="1">
      <alignment/>
      <protection/>
    </xf>
    <xf numFmtId="168" fontId="0" fillId="4" borderId="18" xfId="0" applyNumberFormat="1" applyFill="1" applyBorder="1" applyAlignment="1" applyProtection="1">
      <alignment/>
      <protection/>
    </xf>
    <xf numFmtId="168" fontId="0" fillId="4" borderId="21" xfId="46" applyNumberFormat="1" applyFont="1" applyFill="1" applyBorder="1" applyAlignment="1" applyProtection="1">
      <alignment/>
      <protection/>
    </xf>
    <xf numFmtId="0" fontId="0" fillId="4" borderId="32" xfId="0" applyFill="1" applyBorder="1" applyAlignment="1" applyProtection="1">
      <alignment/>
      <protection/>
    </xf>
    <xf numFmtId="169" fontId="0" fillId="4" borderId="12" xfId="46" applyNumberFormat="1" applyFont="1" applyFill="1" applyBorder="1" applyAlignment="1" applyProtection="1">
      <alignment horizontal="right"/>
      <protection/>
    </xf>
    <xf numFmtId="168" fontId="0" fillId="4" borderId="12" xfId="0" applyNumberFormat="1" applyFill="1" applyBorder="1" applyAlignment="1" applyProtection="1">
      <alignment/>
      <protection/>
    </xf>
    <xf numFmtId="0" fontId="0" fillId="3" borderId="23" xfId="0" applyFill="1" applyBorder="1" applyAlignment="1" applyProtection="1">
      <alignment/>
      <protection/>
    </xf>
    <xf numFmtId="0" fontId="0" fillId="4" borderId="33" xfId="0" applyFill="1" applyBorder="1" applyAlignment="1" applyProtection="1">
      <alignment/>
      <protection/>
    </xf>
    <xf numFmtId="168" fontId="0" fillId="4" borderId="0" xfId="0" applyNumberFormat="1" applyFill="1" applyBorder="1" applyAlignment="1" applyProtection="1">
      <alignment/>
      <protection/>
    </xf>
    <xf numFmtId="168" fontId="0" fillId="4" borderId="34" xfId="46" applyNumberFormat="1" applyFont="1" applyFill="1" applyBorder="1" applyAlignment="1" applyProtection="1">
      <alignment/>
      <protection/>
    </xf>
    <xf numFmtId="0" fontId="0" fillId="4" borderId="19" xfId="0" applyFill="1" applyBorder="1" applyAlignment="1" applyProtection="1">
      <alignment/>
      <protection/>
    </xf>
    <xf numFmtId="168" fontId="0" fillId="4" borderId="10" xfId="46" applyNumberFormat="1" applyFont="1" applyFill="1" applyBorder="1" applyAlignment="1" applyProtection="1">
      <alignment/>
      <protection/>
    </xf>
    <xf numFmtId="43" fontId="0" fillId="4" borderId="12" xfId="46" applyFont="1" applyFill="1" applyBorder="1" applyAlignment="1" applyProtection="1">
      <alignment/>
      <protection/>
    </xf>
    <xf numFmtId="43" fontId="0" fillId="3" borderId="35" xfId="0" applyNumberFormat="1" applyFill="1" applyBorder="1" applyAlignment="1" applyProtection="1">
      <alignment/>
      <protection/>
    </xf>
    <xf numFmtId="0" fontId="0" fillId="4" borderId="36" xfId="0" applyFill="1" applyBorder="1" applyAlignment="1" applyProtection="1">
      <alignment/>
      <protection/>
    </xf>
    <xf numFmtId="168" fontId="0" fillId="4" borderId="37" xfId="0" applyNumberFormat="1" applyFill="1" applyBorder="1" applyAlignment="1" applyProtection="1">
      <alignment/>
      <protection/>
    </xf>
    <xf numFmtId="168" fontId="0" fillId="4" borderId="38" xfId="46" applyNumberFormat="1" applyFont="1" applyFill="1" applyBorder="1" applyAlignment="1" applyProtection="1">
      <alignment/>
      <protection/>
    </xf>
    <xf numFmtId="0" fontId="0" fillId="4" borderId="20" xfId="0" applyFill="1" applyBorder="1" applyAlignment="1" applyProtection="1">
      <alignment/>
      <protection/>
    </xf>
    <xf numFmtId="0" fontId="0" fillId="4" borderId="13" xfId="0" applyFill="1" applyBorder="1" applyAlignment="1" applyProtection="1">
      <alignment/>
      <protection/>
    </xf>
    <xf numFmtId="168" fontId="0" fillId="4" borderId="13" xfId="46" applyNumberFormat="1" applyFont="1" applyFill="1" applyBorder="1" applyAlignment="1" applyProtection="1">
      <alignment/>
      <protection/>
    </xf>
    <xf numFmtId="43" fontId="0" fillId="3" borderId="39" xfId="0" applyNumberFormat="1" applyFill="1" applyBorder="1" applyAlignment="1" applyProtection="1">
      <alignment/>
      <protection/>
    </xf>
    <xf numFmtId="0" fontId="0" fillId="0" borderId="33" xfId="0" applyFont="1" applyFill="1" applyBorder="1" applyAlignment="1" applyProtection="1">
      <alignment/>
      <protection/>
    </xf>
    <xf numFmtId="168" fontId="0" fillId="0" borderId="0" xfId="0" applyNumberFormat="1" applyFill="1" applyBorder="1" applyAlignment="1" applyProtection="1">
      <alignment/>
      <protection/>
    </xf>
    <xf numFmtId="168" fontId="0" fillId="0" borderId="34" xfId="46" applyNumberFormat="1" applyFont="1" applyFill="1" applyBorder="1" applyAlignment="1" applyProtection="1">
      <alignment/>
      <protection/>
    </xf>
    <xf numFmtId="0" fontId="0" fillId="0" borderId="32" xfId="0" applyFont="1" applyFill="1" applyBorder="1" applyAlignment="1" applyProtection="1">
      <alignment/>
      <protection/>
    </xf>
    <xf numFmtId="0" fontId="0" fillId="0" borderId="12" xfId="0" applyFont="1" applyFill="1" applyBorder="1" applyAlignment="1" applyProtection="1">
      <alignment/>
      <protection/>
    </xf>
    <xf numFmtId="168" fontId="0" fillId="0" borderId="12" xfId="46" applyNumberFormat="1" applyFont="1" applyFill="1" applyBorder="1" applyAlignment="1" applyProtection="1">
      <alignment/>
      <protection/>
    </xf>
    <xf numFmtId="43" fontId="0" fillId="0" borderId="12" xfId="46" applyFont="1" applyFill="1" applyBorder="1" applyAlignment="1" applyProtection="1">
      <alignment/>
      <protection/>
    </xf>
    <xf numFmtId="165" fontId="0" fillId="0" borderId="14" xfId="0" applyNumberFormat="1" applyFont="1" applyFill="1" applyBorder="1" applyAlignment="1" applyProtection="1">
      <alignment/>
      <protection/>
    </xf>
    <xf numFmtId="0" fontId="0" fillId="0" borderId="19" xfId="0" applyFont="1" applyFill="1" applyBorder="1" applyAlignment="1" applyProtection="1">
      <alignment/>
      <protection/>
    </xf>
    <xf numFmtId="168" fontId="0" fillId="0" borderId="10" xfId="46" applyNumberFormat="1" applyFont="1" applyFill="1" applyBorder="1" applyAlignment="1" applyProtection="1">
      <alignment/>
      <protection/>
    </xf>
    <xf numFmtId="165" fontId="0" fillId="0" borderId="15" xfId="0" applyNumberFormat="1" applyFont="1" applyFill="1" applyBorder="1" applyAlignment="1" applyProtection="1">
      <alignment/>
      <protection/>
    </xf>
    <xf numFmtId="2" fontId="0" fillId="0" borderId="10" xfId="0" applyNumberFormat="1" applyFont="1" applyFill="1" applyBorder="1" applyAlignment="1" applyProtection="1">
      <alignment/>
      <protection/>
    </xf>
    <xf numFmtId="0" fontId="0" fillId="0" borderId="40" xfId="0" applyFont="1" applyFill="1" applyBorder="1" applyAlignment="1" applyProtection="1">
      <alignment/>
      <protection/>
    </xf>
    <xf numFmtId="168" fontId="0" fillId="0" borderId="41" xfId="0" applyNumberFormat="1" applyFill="1" applyBorder="1" applyAlignment="1" applyProtection="1">
      <alignment/>
      <protection/>
    </xf>
    <xf numFmtId="168" fontId="0" fillId="0" borderId="42" xfId="46" applyNumberFormat="1" applyFont="1" applyFill="1" applyBorder="1" applyAlignment="1" applyProtection="1">
      <alignment/>
      <protection/>
    </xf>
    <xf numFmtId="0" fontId="0" fillId="0" borderId="20" xfId="0" applyFont="1" applyFill="1" applyBorder="1" applyAlignment="1" applyProtection="1">
      <alignment/>
      <protection/>
    </xf>
    <xf numFmtId="0" fontId="0" fillId="0" borderId="13" xfId="0" applyFont="1" applyFill="1" applyBorder="1" applyAlignment="1" applyProtection="1">
      <alignment/>
      <protection/>
    </xf>
    <xf numFmtId="168" fontId="0" fillId="0" borderId="13" xfId="46" applyNumberFormat="1" applyFont="1" applyFill="1" applyBorder="1" applyAlignment="1" applyProtection="1">
      <alignment/>
      <protection/>
    </xf>
    <xf numFmtId="2" fontId="0" fillId="0" borderId="13" xfId="0" applyNumberFormat="1" applyFont="1" applyFill="1" applyBorder="1" applyAlignment="1" applyProtection="1">
      <alignment/>
      <protection/>
    </xf>
    <xf numFmtId="43" fontId="0" fillId="0" borderId="43" xfId="46" applyFont="1" applyFill="1" applyBorder="1" applyAlignment="1" applyProtection="1">
      <alignment/>
      <protection/>
    </xf>
    <xf numFmtId="165" fontId="0" fillId="0" borderId="16" xfId="0" applyNumberFormat="1" applyFont="1" applyFill="1" applyBorder="1" applyAlignment="1" applyProtection="1">
      <alignment/>
      <protection/>
    </xf>
    <xf numFmtId="0" fontId="0" fillId="0" borderId="33" xfId="0" applyBorder="1" applyAlignment="1" applyProtection="1">
      <alignment/>
      <protection/>
    </xf>
    <xf numFmtId="3" fontId="0" fillId="0" borderId="0" xfId="0" applyNumberFormat="1" applyAlignment="1" applyProtection="1">
      <alignment/>
      <protection/>
    </xf>
    <xf numFmtId="10" fontId="0" fillId="6" borderId="44" xfId="0" applyNumberFormat="1" applyFill="1" applyBorder="1" applyAlignment="1" applyProtection="1">
      <alignment/>
      <protection locked="0"/>
    </xf>
    <xf numFmtId="43" fontId="0" fillId="4" borderId="13" xfId="46" applyFont="1" applyFill="1" applyBorder="1" applyAlignment="1" applyProtection="1">
      <alignment/>
      <protection/>
    </xf>
    <xf numFmtId="43" fontId="0" fillId="3" borderId="10" xfId="46" applyFont="1" applyFill="1" applyBorder="1" applyAlignment="1" applyProtection="1">
      <alignment/>
      <protection/>
    </xf>
    <xf numFmtId="0" fontId="0" fillId="0" borderId="0" xfId="0" applyFont="1" applyFill="1" applyAlignment="1" applyProtection="1">
      <alignment wrapText="1"/>
      <protection/>
    </xf>
    <xf numFmtId="165" fontId="0" fillId="6" borderId="13" xfId="0" applyNumberFormat="1" applyFill="1" applyBorder="1" applyAlignment="1" applyProtection="1">
      <alignment/>
      <protection locked="0"/>
    </xf>
    <xf numFmtId="0" fontId="1" fillId="34" borderId="10" xfId="0" applyFont="1" applyFill="1" applyBorder="1" applyAlignment="1" applyProtection="1">
      <alignment horizontal="center" wrapText="1"/>
      <protection/>
    </xf>
    <xf numFmtId="0" fontId="1" fillId="35" borderId="31" xfId="0" applyFont="1" applyFill="1" applyBorder="1" applyAlignment="1" applyProtection="1">
      <alignment horizontal="center"/>
      <protection/>
    </xf>
    <xf numFmtId="0" fontId="1" fillId="35" borderId="45" xfId="0" applyFont="1" applyFill="1" applyBorder="1" applyAlignment="1" applyProtection="1">
      <alignment horizontal="center"/>
      <protection/>
    </xf>
    <xf numFmtId="0" fontId="1" fillId="35" borderId="30" xfId="0" applyFont="1" applyFill="1" applyBorder="1" applyAlignment="1" applyProtection="1">
      <alignment horizontal="center"/>
      <protection/>
    </xf>
    <xf numFmtId="0" fontId="1" fillId="34" borderId="46" xfId="0" applyFont="1" applyFill="1" applyBorder="1" applyAlignment="1" applyProtection="1">
      <alignment horizontal="center"/>
      <protection/>
    </xf>
    <xf numFmtId="0" fontId="1" fillId="34" borderId="47" xfId="0" applyFont="1" applyFill="1" applyBorder="1" applyAlignment="1" applyProtection="1">
      <alignment horizontal="center"/>
      <protection/>
    </xf>
    <xf numFmtId="0" fontId="1" fillId="34" borderId="48" xfId="0" applyFont="1" applyFill="1" applyBorder="1" applyAlignment="1" applyProtection="1">
      <alignment horizontal="center"/>
      <protection/>
    </xf>
    <xf numFmtId="0" fontId="0" fillId="0" borderId="0" xfId="0" applyFont="1" applyAlignment="1" applyProtection="1">
      <alignment horizontal="left" wrapText="1"/>
      <protection/>
    </xf>
    <xf numFmtId="0" fontId="0" fillId="4" borderId="0" xfId="0" applyFont="1" applyFill="1" applyAlignment="1" applyProtection="1">
      <alignment horizontal="left" vertical="center" wrapText="1"/>
      <protection/>
    </xf>
    <xf numFmtId="0" fontId="0" fillId="3" borderId="0" xfId="0" applyFont="1" applyFill="1" applyAlignment="1" applyProtection="1">
      <alignment horizontal="left" wrapText="1"/>
      <protection/>
    </xf>
    <xf numFmtId="0" fontId="1" fillId="3" borderId="10" xfId="0" applyFont="1" applyFill="1" applyBorder="1" applyAlignment="1" applyProtection="1">
      <alignment horizontal="center" wrapText="1"/>
      <protection/>
    </xf>
  </cellXfs>
  <cellStyles count="47">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Überschrift" xfId="51"/>
    <cellStyle name="Überschrift 1" xfId="52"/>
    <cellStyle name="Überschrift 2" xfId="53"/>
    <cellStyle name="Überschrift 3" xfId="54"/>
    <cellStyle name="Überschrift 4" xfId="55"/>
    <cellStyle name="Verknüpfte Zelle" xfId="56"/>
    <cellStyle name="Currency" xfId="57"/>
    <cellStyle name="Currency [0]" xfId="58"/>
    <cellStyle name="Warnender Text" xfId="59"/>
    <cellStyle name="Zelle überprüfen"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
          <c:y val="0.00525"/>
          <c:w val="0.83275"/>
          <c:h val="0.989"/>
        </c:manualLayout>
      </c:layout>
      <c:lineChart>
        <c:grouping val="standard"/>
        <c:varyColors val="0"/>
        <c:ser>
          <c:idx val="0"/>
          <c:order val="0"/>
          <c:tx>
            <c:strRef>
              <c:f>Simulation!$A$4</c:f>
              <c:strCache>
                <c:ptCount val="1"/>
                <c:pt idx="0">
                  <c:v>Zinsatz 15 Jahre fix</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Lbls>
            <c:dLbl>
              <c:idx val="0"/>
              <c:delete val="1"/>
            </c:dLbl>
            <c:dLbl>
              <c:idx val="1"/>
              <c:delete val="1"/>
            </c:dLbl>
            <c:dLbl>
              <c:idx val="2"/>
              <c:delete val="1"/>
            </c:dLbl>
            <c:dLbl>
              <c:idx val="3"/>
              <c:delete val="1"/>
            </c:dLbl>
            <c:dLbl>
              <c:idx val="4"/>
              <c:delete val="1"/>
            </c:dLbl>
            <c:dLbl>
              <c:idx val="5"/>
              <c:delete val="1"/>
            </c:dLbl>
            <c:dLbl>
              <c:idx val="6"/>
              <c:delete val="1"/>
            </c:dLbl>
            <c:dLbl>
              <c:idx val="7"/>
              <c:delete val="1"/>
            </c:dLbl>
            <c:dLbl>
              <c:idx val="8"/>
              <c:delete val="1"/>
            </c:dLbl>
            <c:dLbl>
              <c:idx val="9"/>
              <c:txPr>
                <a:bodyPr vert="horz" rot="0" anchor="ctr"/>
                <a:lstStyle/>
                <a:p>
                  <a:pPr algn="ctr">
                    <a:defRPr lang="en-US" cap="none" sz="1000" b="0" i="0" u="none" baseline="0">
                      <a:solidFill>
                        <a:srgbClr val="000000"/>
                      </a:solidFill>
                    </a:defRPr>
                  </a:pPr>
                </a:p>
              </c:txPr>
              <c:numFmt formatCode="General" sourceLinked="1"/>
              <c:spPr>
                <a:noFill/>
                <a:ln w="3175">
                  <a:noFill/>
                </a:ln>
              </c:spPr>
              <c:dLblPos val="b"/>
              <c:showLegendKey val="0"/>
              <c:showVal val="1"/>
              <c:showBubbleSize val="0"/>
              <c:showCatName val="0"/>
              <c:showSerName val="0"/>
              <c:showPercent val="0"/>
            </c:dLbl>
            <c:dLbl>
              <c:idx val="10"/>
              <c:delete val="1"/>
            </c:dLbl>
            <c:dLbl>
              <c:idx val="11"/>
              <c:delete val="1"/>
            </c:dLbl>
            <c:dLbl>
              <c:idx val="12"/>
              <c:delete val="1"/>
            </c:dLbl>
            <c:dLbl>
              <c:idx val="13"/>
              <c:delete val="1"/>
            </c:dLbl>
            <c:numFmt formatCode="General" sourceLinked="1"/>
            <c:spPr>
              <a:noFill/>
              <a:ln w="3175">
                <a:noFill/>
              </a:ln>
            </c:spPr>
            <c:showLegendKey val="0"/>
            <c:showVal val="1"/>
            <c:showBubbleSize val="0"/>
            <c:showCatName val="0"/>
            <c:showSerName val="0"/>
            <c:showLeaderLines val="1"/>
            <c:showPercent val="0"/>
          </c:dLbls>
          <c:val>
            <c:numRef>
              <c:f>Simulation!$V$11:$V$25</c:f>
              <c:numCache>
                <c:ptCount val="15"/>
                <c:pt idx="0">
                  <c:v>204261.85597305323</c:v>
                </c:pt>
                <c:pt idx="1">
                  <c:v>208419.36365712644</c:v>
                </c:pt>
                <c:pt idx="2">
                  <c:v>212470.25251980318</c:v>
                </c:pt>
                <c:pt idx="3">
                  <c:v>216412.20262376068</c:v>
                </c:pt>
                <c:pt idx="4">
                  <c:v>220242.84355175978</c:v>
                </c:pt>
                <c:pt idx="5">
                  <c:v>223959.75330824382</c:v>
                </c:pt>
                <c:pt idx="6">
                  <c:v>227560.45719703706</c:v>
                </c:pt>
                <c:pt idx="7">
                  <c:v>231042.42667462298</c:v>
                </c:pt>
                <c:pt idx="8">
                  <c:v>234403.0781784705</c:v>
                </c:pt>
                <c:pt idx="9">
                  <c:v>237639.77192986588</c:v>
                </c:pt>
                <c:pt idx="10">
                  <c:v>240749.81071069514</c:v>
                </c:pt>
                <c:pt idx="11">
                  <c:v>243730.4386136101</c:v>
                </c:pt>
                <c:pt idx="12">
                  <c:v>246578.83976499928</c:v>
                </c:pt>
                <c:pt idx="13">
                  <c:v>249292.13702017174</c:v>
                </c:pt>
                <c:pt idx="14">
                  <c:v>251867.39063014893</c:v>
                </c:pt>
              </c:numCache>
            </c:numRef>
          </c:val>
          <c:smooth val="0"/>
        </c:ser>
        <c:ser>
          <c:idx val="1"/>
          <c:order val="1"/>
          <c:tx>
            <c:strRef>
              <c:f>Simulation!$A$5</c:f>
              <c:strCache>
                <c:ptCount val="1"/>
                <c:pt idx="0">
                  <c:v>Zinssatz variabel</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dLbls>
            <c:dLbl>
              <c:idx val="0"/>
              <c:delete val="1"/>
            </c:dLbl>
            <c:dLbl>
              <c:idx val="1"/>
              <c:delete val="1"/>
            </c:dLbl>
            <c:dLbl>
              <c:idx val="2"/>
              <c:delete val="1"/>
            </c:dLbl>
            <c:dLbl>
              <c:idx val="3"/>
              <c:delete val="1"/>
            </c:dLbl>
            <c:dLbl>
              <c:idx val="4"/>
              <c:delete val="1"/>
            </c:dLbl>
            <c:dLbl>
              <c:idx val="5"/>
              <c:delete val="1"/>
            </c:dLbl>
            <c:dLbl>
              <c:idx val="6"/>
              <c:delete val="1"/>
            </c:dLbl>
            <c:dLbl>
              <c:idx val="7"/>
              <c:delete val="1"/>
            </c:dLbl>
            <c:dLbl>
              <c:idx val="8"/>
              <c:delete val="1"/>
            </c:dLbl>
            <c:dLbl>
              <c:idx val="10"/>
              <c:delete val="1"/>
            </c:dLbl>
            <c:dLbl>
              <c:idx val="11"/>
              <c:delete val="1"/>
            </c:dLbl>
            <c:dLbl>
              <c:idx val="12"/>
              <c:delete val="1"/>
            </c:dLbl>
            <c:dLbl>
              <c:idx val="13"/>
              <c:delete val="1"/>
            </c:dLbl>
            <c:numFmt formatCode="General" sourceLinked="1"/>
            <c:spPr>
              <a:noFill/>
              <a:ln w="3175">
                <a:noFill/>
              </a:ln>
            </c:spPr>
            <c:dLblPos val="t"/>
            <c:showLegendKey val="0"/>
            <c:showVal val="1"/>
            <c:showBubbleSize val="0"/>
            <c:showCatName val="0"/>
            <c:showSerName val="0"/>
            <c:showLeaderLines val="1"/>
            <c:showPercent val="0"/>
          </c:dLbls>
          <c:val>
            <c:numRef>
              <c:f>Simulation!$S$11:$S$25</c:f>
              <c:numCache>
                <c:ptCount val="15"/>
                <c:pt idx="0">
                  <c:v>202502.76109761023</c:v>
                </c:pt>
                <c:pt idx="1">
                  <c:v>204935.22155718214</c:v>
                </c:pt>
                <c:pt idx="2">
                  <c:v>207296.48522213468</c:v>
                </c:pt>
                <c:pt idx="3">
                  <c:v>209815.20134852134</c:v>
                </c:pt>
                <c:pt idx="4">
                  <c:v>212477.4038738319</c:v>
                </c:pt>
                <c:pt idx="5">
                  <c:v>215269.0353040255</c:v>
                </c:pt>
                <c:pt idx="6">
                  <c:v>218175.89271376937</c:v>
                </c:pt>
                <c:pt idx="7">
                  <c:v>221183.57273486283</c:v>
                </c:pt>
                <c:pt idx="8">
                  <c:v>224277.41508620474</c:v>
                </c:pt>
                <c:pt idx="9">
                  <c:v>227442.4441799609</c:v>
                </c:pt>
                <c:pt idx="10">
                  <c:v>230663.30831460003</c:v>
                </c:pt>
                <c:pt idx="11">
                  <c:v>233924.21593585238</c:v>
                </c:pt>
                <c:pt idx="12">
                  <c:v>237208.8684108883</c:v>
                </c:pt>
                <c:pt idx="13">
                  <c:v>240500.3887186069</c:v>
                </c:pt>
                <c:pt idx="14">
                  <c:v>243781.24540915526</c:v>
                </c:pt>
              </c:numCache>
            </c:numRef>
          </c:val>
          <c:smooth val="0"/>
        </c:ser>
        <c:marker val="1"/>
        <c:axId val="44183171"/>
        <c:axId val="62104220"/>
      </c:lineChart>
      <c:catAx>
        <c:axId val="44183171"/>
        <c:scaling>
          <c:orientation val="minMax"/>
        </c:scaling>
        <c:axPos val="b"/>
        <c:delete val="0"/>
        <c:numFmt formatCode="General" sourceLinked="1"/>
        <c:majorTickMark val="out"/>
        <c:minorTickMark val="none"/>
        <c:tickLblPos val="nextTo"/>
        <c:spPr>
          <a:ln w="3175">
            <a:solidFill>
              <a:srgbClr val="808080"/>
            </a:solidFill>
          </a:ln>
        </c:spPr>
        <c:crossAx val="62104220"/>
        <c:crosses val="autoZero"/>
        <c:auto val="1"/>
        <c:lblOffset val="100"/>
        <c:tickLblSkip val="1"/>
        <c:noMultiLvlLbl val="0"/>
      </c:catAx>
      <c:valAx>
        <c:axId val="62104220"/>
        <c:scaling>
          <c:orientation val="minMax"/>
          <c:min val="190000"/>
        </c:scaling>
        <c:axPos val="l"/>
        <c:delete val="0"/>
        <c:numFmt formatCode="General" sourceLinked="1"/>
        <c:majorTickMark val="out"/>
        <c:minorTickMark val="none"/>
        <c:tickLblPos val="nextTo"/>
        <c:spPr>
          <a:ln w="3175">
            <a:solidFill>
              <a:srgbClr val="808080"/>
            </a:solidFill>
          </a:ln>
        </c:spPr>
        <c:crossAx val="44183171"/>
        <c:crossesAt val="1"/>
        <c:crossBetween val="between"/>
        <c:dispUnits/>
        <c:majorUnit val="5000"/>
      </c:valAx>
      <c:spPr>
        <a:solidFill>
          <a:srgbClr val="FFFFFF"/>
        </a:solidFill>
        <a:ln w="3175">
          <a:noFill/>
        </a:ln>
      </c:spPr>
    </c:plotArea>
    <c:legend>
      <c:legendPos val="r"/>
      <c:layout>
        <c:manualLayout>
          <c:xMode val="edge"/>
          <c:yMode val="edge"/>
          <c:x val="0.85475"/>
          <c:y val="0.46175"/>
          <c:w val="0.13675"/>
          <c:h val="0.07"/>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sheet1.xml><?xml version="1.0" encoding="utf-8"?>
<chartsheet xmlns="http://schemas.openxmlformats.org/spreadsheetml/2006/main" xmlns:r="http://schemas.openxmlformats.org/officeDocument/2006/relationships">
  <sheetViews>
    <sheetView workbookViewId="0" zoomScale="120"/>
  </sheetViews>
  <pageMargins left="0.7" right="0.7" top="0.787401575" bottom="0.787401575" header="0.3" footer="0.3"/>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91650" cy="6115050"/>
    <xdr:graphicFrame>
      <xdr:nvGraphicFramePr>
        <xdr:cNvPr id="1" name="Shape 1025"/>
        <xdr:cNvGraphicFramePr/>
      </xdr:nvGraphicFramePr>
      <xdr:xfrm>
        <a:off x="0" y="0"/>
        <a:ext cx="9391650" cy="611505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3:AB66"/>
  <sheetViews>
    <sheetView showGridLines="0" tabSelected="1" zoomScale="90" zoomScaleNormal="90" zoomScaleSheetLayoutView="100" workbookViewId="0" topLeftCell="A1">
      <selection activeCell="D4" sqref="D4"/>
    </sheetView>
  </sheetViews>
  <sheetFormatPr defaultColWidth="11.421875" defaultRowHeight="12.75"/>
  <cols>
    <col min="1" max="1" width="7.140625" style="1" customWidth="1"/>
    <col min="2" max="2" width="11.421875" style="1" hidden="1" customWidth="1"/>
    <col min="3" max="3" width="16.28125" style="1" customWidth="1"/>
    <col min="4" max="4" width="14.28125" style="1" bestFit="1" customWidth="1"/>
    <col min="5" max="5" width="12.57421875" style="1" hidden="1" customWidth="1"/>
    <col min="6" max="6" width="20.8515625" style="1" customWidth="1"/>
    <col min="7" max="7" width="14.421875" style="1" customWidth="1"/>
    <col min="8" max="8" width="5.00390625" style="1" bestFit="1" customWidth="1"/>
    <col min="9" max="9" width="11.421875" style="1" hidden="1" customWidth="1"/>
    <col min="10" max="10" width="17.00390625" style="1" hidden="1" customWidth="1"/>
    <col min="11" max="11" width="5.00390625" style="1" hidden="1" customWidth="1"/>
    <col min="12" max="12" width="15.421875" style="1" hidden="1" customWidth="1"/>
    <col min="13" max="13" width="15.7109375" style="1" hidden="1" customWidth="1"/>
    <col min="14" max="14" width="12.140625" style="1" customWidth="1"/>
    <col min="15" max="15" width="11.140625" style="1" hidden="1" customWidth="1"/>
    <col min="16" max="16" width="12.140625" style="28" bestFit="1" customWidth="1"/>
    <col min="17" max="17" width="14.7109375" style="1" customWidth="1"/>
    <col min="18" max="18" width="15.421875" style="1" customWidth="1"/>
    <col min="19" max="19" width="12.140625" style="1" bestFit="1" customWidth="1"/>
    <col min="20" max="20" width="13.8515625" style="1" customWidth="1"/>
    <col min="21" max="21" width="14.140625" style="1" customWidth="1"/>
    <col min="22" max="22" width="12.140625" style="1" bestFit="1" customWidth="1"/>
    <col min="23" max="23" width="16.00390625" style="1" customWidth="1"/>
    <col min="24" max="16384" width="11.421875" style="1" customWidth="1"/>
  </cols>
  <sheetData>
    <row r="1" ht="12.75"/>
    <row r="2" ht="3" customHeight="1"/>
    <row r="3" spans="1:16" ht="25.5" customHeight="1">
      <c r="A3" s="102" t="s">
        <v>17</v>
      </c>
      <c r="B3" s="102"/>
      <c r="C3" s="102"/>
      <c r="D3" s="9">
        <v>200000</v>
      </c>
      <c r="E3" s="29"/>
      <c r="F3" s="30"/>
      <c r="G3" s="30"/>
      <c r="H3" s="31"/>
      <c r="I3" s="31"/>
      <c r="J3" s="31"/>
      <c r="K3" s="31"/>
      <c r="L3" s="31"/>
      <c r="M3" s="31"/>
      <c r="N3" s="31"/>
      <c r="O3" s="31"/>
      <c r="P3" s="31"/>
    </row>
    <row r="4" spans="1:23" ht="25.5" customHeight="1">
      <c r="A4" s="102" t="s">
        <v>12</v>
      </c>
      <c r="B4" s="102"/>
      <c r="C4" s="102"/>
      <c r="D4" s="10">
        <v>0.02125</v>
      </c>
      <c r="E4" s="29"/>
      <c r="F4" s="32" t="s">
        <v>19</v>
      </c>
      <c r="G4" s="33">
        <f>C10</f>
        <v>754.7880035174685</v>
      </c>
      <c r="H4" s="2"/>
      <c r="I4" s="31"/>
      <c r="J4" s="31"/>
      <c r="K4" s="31"/>
      <c r="L4" s="31"/>
      <c r="M4" s="31"/>
      <c r="N4" s="31"/>
      <c r="O4" s="31"/>
      <c r="P4" s="31"/>
      <c r="T4" s="112" t="s">
        <v>23</v>
      </c>
      <c r="U4" s="112"/>
      <c r="V4" s="112"/>
      <c r="W4" s="99">
        <f>(G4*120)+U20-((G5*120)+G20)</f>
        <v>15885.664531781047</v>
      </c>
    </row>
    <row r="5" spans="1:23" ht="22.5" customHeight="1">
      <c r="A5" s="102" t="s">
        <v>13</v>
      </c>
      <c r="B5" s="102"/>
      <c r="C5" s="102"/>
      <c r="D5" s="10">
        <v>0.0125</v>
      </c>
      <c r="E5" s="34"/>
      <c r="F5" s="32" t="s">
        <v>20</v>
      </c>
      <c r="G5" s="33">
        <f>F10</f>
        <v>668.1352426667069</v>
      </c>
      <c r="H5" s="31"/>
      <c r="I5" s="31"/>
      <c r="J5" s="31"/>
      <c r="K5" s="31"/>
      <c r="L5" s="31"/>
      <c r="M5" s="31"/>
      <c r="N5" s="31"/>
      <c r="O5" s="31"/>
      <c r="P5" s="31"/>
      <c r="Q5" s="3"/>
      <c r="R5" s="4"/>
      <c r="S5" s="35"/>
      <c r="T5" s="112" t="s">
        <v>24</v>
      </c>
      <c r="U5" s="112"/>
      <c r="V5" s="112"/>
      <c r="W5" s="99">
        <f>(G4*180+U25)-((G5*180)+G25)</f>
        <v>22131.332571706356</v>
      </c>
    </row>
    <row r="6" spans="1:19" ht="26.25">
      <c r="A6" s="102" t="s">
        <v>4</v>
      </c>
      <c r="B6" s="102"/>
      <c r="C6" s="102"/>
      <c r="D6" s="11">
        <v>360</v>
      </c>
      <c r="E6" s="36"/>
      <c r="F6" s="37"/>
      <c r="G6" s="37"/>
      <c r="H6" s="31"/>
      <c r="I6" s="31"/>
      <c r="J6" s="31"/>
      <c r="K6" s="31"/>
      <c r="L6" s="31"/>
      <c r="M6" s="31"/>
      <c r="N6" s="31"/>
      <c r="O6" s="31"/>
      <c r="P6" s="31"/>
      <c r="Q6" s="3"/>
      <c r="R6" s="4"/>
      <c r="S6" s="35"/>
    </row>
    <row r="7" ht="13.5" thickBot="1">
      <c r="T7" s="5"/>
    </row>
    <row r="8" spans="3:23" ht="13.5" customHeight="1" thickBot="1">
      <c r="C8" s="38" t="s">
        <v>14</v>
      </c>
      <c r="D8" s="39"/>
      <c r="F8" s="38" t="s">
        <v>16</v>
      </c>
      <c r="G8" s="39"/>
      <c r="H8" s="103" t="s">
        <v>18</v>
      </c>
      <c r="I8" s="104"/>
      <c r="J8" s="104"/>
      <c r="K8" s="104"/>
      <c r="L8" s="104"/>
      <c r="M8" s="104"/>
      <c r="N8" s="104"/>
      <c r="O8" s="104"/>
      <c r="P8" s="104"/>
      <c r="Q8" s="104"/>
      <c r="R8" s="104"/>
      <c r="S8" s="105"/>
      <c r="T8" s="106" t="s">
        <v>21</v>
      </c>
      <c r="U8" s="107"/>
      <c r="V8" s="107"/>
      <c r="W8" s="108"/>
    </row>
    <row r="9" spans="1:28" ht="33" customHeight="1" thickBot="1">
      <c r="A9" s="40" t="s">
        <v>0</v>
      </c>
      <c r="B9" s="41" t="s">
        <v>1</v>
      </c>
      <c r="C9" s="42" t="s">
        <v>15</v>
      </c>
      <c r="D9" s="43" t="s">
        <v>3</v>
      </c>
      <c r="E9" s="41" t="s">
        <v>1</v>
      </c>
      <c r="F9" s="42" t="s">
        <v>15</v>
      </c>
      <c r="G9" s="44" t="s">
        <v>3</v>
      </c>
      <c r="H9" s="45" t="s">
        <v>0</v>
      </c>
      <c r="I9" s="46" t="s">
        <v>1</v>
      </c>
      <c r="J9" s="47" t="s">
        <v>8</v>
      </c>
      <c r="K9" s="46" t="s">
        <v>0</v>
      </c>
      <c r="L9" s="47" t="s">
        <v>9</v>
      </c>
      <c r="M9" s="47" t="s">
        <v>10</v>
      </c>
      <c r="N9" s="48" t="s">
        <v>15</v>
      </c>
      <c r="O9" s="47" t="s">
        <v>5</v>
      </c>
      <c r="P9" s="46" t="s">
        <v>2</v>
      </c>
      <c r="Q9" s="48" t="s">
        <v>27</v>
      </c>
      <c r="R9" s="48" t="s">
        <v>3</v>
      </c>
      <c r="S9" s="49" t="s">
        <v>29</v>
      </c>
      <c r="T9" s="50" t="s">
        <v>27</v>
      </c>
      <c r="U9" s="51" t="s">
        <v>3</v>
      </c>
      <c r="V9" s="49" t="s">
        <v>29</v>
      </c>
      <c r="W9" s="52" t="s">
        <v>25</v>
      </c>
      <c r="Y9" s="110" t="s">
        <v>28</v>
      </c>
      <c r="Z9" s="110"/>
      <c r="AA9" s="110"/>
      <c r="AB9" s="110"/>
    </row>
    <row r="10" spans="1:28" ht="12.75">
      <c r="A10" s="53">
        <v>0</v>
      </c>
      <c r="B10" s="53">
        <f aca="true" t="shared" si="0" ref="B10:B40">$D$4/12*365/360</f>
        <v>0.0017954282407407407</v>
      </c>
      <c r="C10" s="54">
        <f>PMT(D4/12/360*365,D6,-D10)</f>
        <v>754.7880035174685</v>
      </c>
      <c r="D10" s="55">
        <f>D3</f>
        <v>200000</v>
      </c>
      <c r="E10" s="53">
        <f>$D$5/12*365/360</f>
        <v>0.0010561342592592593</v>
      </c>
      <c r="F10" s="54">
        <f>PMT(D5/12*365/360,D6,-D3)</f>
        <v>668.1352426667069</v>
      </c>
      <c r="G10" s="55">
        <f>D3</f>
        <v>200000</v>
      </c>
      <c r="H10" s="56">
        <v>0</v>
      </c>
      <c r="I10" s="13"/>
      <c r="J10" s="57">
        <f>D10</f>
        <v>200000</v>
      </c>
      <c r="K10" s="13"/>
      <c r="L10" s="13"/>
      <c r="M10" s="13"/>
      <c r="N10" s="58"/>
      <c r="O10" s="13"/>
      <c r="P10" s="97"/>
      <c r="Q10" s="13"/>
      <c r="R10" s="13"/>
      <c r="S10" s="19"/>
      <c r="T10" s="22"/>
      <c r="U10" s="23"/>
      <c r="V10" s="27"/>
      <c r="W10" s="59"/>
      <c r="Y10" s="110"/>
      <c r="Z10" s="110"/>
      <c r="AA10" s="110"/>
      <c r="AB10" s="110"/>
    </row>
    <row r="11" spans="1:28" ht="12.75">
      <c r="A11" s="60">
        <v>1</v>
      </c>
      <c r="B11" s="60">
        <f t="shared" si="0"/>
        <v>0.0017954282407407407</v>
      </c>
      <c r="C11" s="61">
        <f>$G$4</f>
        <v>754.7880035174685</v>
      </c>
      <c r="D11" s="62">
        <f aca="true" t="shared" si="1" ref="D11:D40">IF((D10*((1+$B$11)^12)-$C$10*((((1+$B$11)^12)-1)/$B$11)&lt;0),0,(D10*((1+$B$11)^12)-$C$10*((((1+$B$11)^12)-1)/$B$11)))</f>
        <v>195204.39993084362</v>
      </c>
      <c r="E11" s="60">
        <f aca="true" t="shared" si="2" ref="E11:E41">$D$5/12*365/360</f>
        <v>0.0010561342592592593</v>
      </c>
      <c r="F11" s="61">
        <f>$G$5</f>
        <v>668.1352426667069</v>
      </c>
      <c r="G11" s="62">
        <f>IF((G10*((1+$E$11)^12)-$F$10*((((1+$E$11)^12)-1)/$E$11)&lt;0),0,(G10*((1+$E$11)^12)-$F$10*((((1+$E$11)^12)-1)/$E$11)))</f>
        <v>194485.13818560974</v>
      </c>
      <c r="H11" s="63">
        <v>1</v>
      </c>
      <c r="I11" s="14">
        <f>P11/12/360*365</f>
        <v>0.0010561342592592593</v>
      </c>
      <c r="J11" s="64">
        <f aca="true" t="shared" si="3" ref="J11:J40">IF(J10=0,0,(IF((J10*((1+I11)^12)-(N11+O11/12)*((((1+I11)^12)-1)/I11))&lt;0,0,(J10*((1+I11)^12)-(N11+O11/12)*((((1+I11)^12)-1)/I11)))))</f>
        <v>194485.13818560974</v>
      </c>
      <c r="K11" s="64">
        <f>IF((K10*((1+J11)^12)-(O11+P11/12)*((((1+J11)^12)-1)/J11)&lt;0),0,(K10*((1+J11)^12)-(O11+P11/12)*((((1+J11)^12)-1)/J11)))</f>
        <v>0</v>
      </c>
      <c r="L11" s="64">
        <f>IF((J10*((1+I11)^12)-(M11)*((((1+I11)^12)-1)/I11)&lt;0),0,(J10*((1+I11)^12)-(M11)*((((1+I11)^12)-1)/I11)))</f>
        <v>194485.13818560974</v>
      </c>
      <c r="M11" s="58">
        <f>$F$10</f>
        <v>668.1352426667069</v>
      </c>
      <c r="N11" s="58">
        <f>$F$10</f>
        <v>668.1352426667069</v>
      </c>
      <c r="O11" s="65"/>
      <c r="P11" s="12">
        <v>0.0125</v>
      </c>
      <c r="Q11" s="15">
        <f>N11*12</f>
        <v>8017.622912000483</v>
      </c>
      <c r="R11" s="16">
        <f>L11</f>
        <v>194485.13818560974</v>
      </c>
      <c r="S11" s="20">
        <f>Q11+R11</f>
        <v>202502.76109761023</v>
      </c>
      <c r="T11" s="24">
        <f>C10*12</f>
        <v>9057.456042209622</v>
      </c>
      <c r="U11" s="16">
        <f>D11</f>
        <v>195204.39993084362</v>
      </c>
      <c r="V11" s="20">
        <f>T11+U11</f>
        <v>204261.85597305323</v>
      </c>
      <c r="W11" s="66">
        <f>V11-S11</f>
        <v>1759.0948754429992</v>
      </c>
      <c r="Y11" s="110"/>
      <c r="Z11" s="110"/>
      <c r="AA11" s="110"/>
      <c r="AB11" s="110"/>
    </row>
    <row r="12" spans="1:28" ht="12.75">
      <c r="A12" s="60">
        <v>2</v>
      </c>
      <c r="B12" s="60">
        <f t="shared" si="0"/>
        <v>0.0017954282407407407</v>
      </c>
      <c r="C12" s="61">
        <f aca="true" t="shared" si="4" ref="C12:C40">$G$4</f>
        <v>754.7880035174685</v>
      </c>
      <c r="D12" s="62">
        <f t="shared" si="1"/>
        <v>190304.45157270718</v>
      </c>
      <c r="E12" s="60">
        <f t="shared" si="2"/>
        <v>0.0010561342592592593</v>
      </c>
      <c r="F12" s="61">
        <f aca="true" t="shared" si="5" ref="F12:F40">$G$5</f>
        <v>668.1352426667069</v>
      </c>
      <c r="G12" s="62">
        <f aca="true" t="shared" si="6" ref="G12:G40">IF((G11*((1+$E$11)^12)-$F$10*((((1+$E$11)^12)-1)/$E$11)&lt;0),0,(G11*((1+$E$11)^12)-$F$10*((((1+$E$11)^12)-1)/$E$11)))</f>
        <v>188899.97573318117</v>
      </c>
      <c r="H12" s="63">
        <f aca="true" t="shared" si="7" ref="H12:H40">H11+1</f>
        <v>2</v>
      </c>
      <c r="I12" s="14">
        <f aca="true" t="shared" si="8" ref="I12:I39">P12/12/360*365</f>
        <v>0.0010561342592592593</v>
      </c>
      <c r="J12" s="64">
        <f t="shared" si="3"/>
        <v>188899.97573318117</v>
      </c>
      <c r="K12" s="14">
        <v>2</v>
      </c>
      <c r="L12" s="64">
        <f aca="true" t="shared" si="9" ref="L12:L35">IF(L11=0,0,(IF((L11*((1+I12)^12)-(M12)*((((1+I12)^12)-1)/I12)&lt;0),0,(L11*((1+I12)^12)-(M12)*((((1+I12)^12)-1)/I12)))))</f>
        <v>188899.97573318117</v>
      </c>
      <c r="M12" s="64">
        <f>IF(J11=0,0,(PMT(P12/12/360*365,$D$6-(H11*12),-L11)))</f>
        <v>668.135242666707</v>
      </c>
      <c r="N12" s="64">
        <f>IF(J11=0,0,(PMT(P12/12/360*365,$D$6-(H11*12),-J11)))</f>
        <v>668.135242666707</v>
      </c>
      <c r="O12" s="65"/>
      <c r="P12" s="12">
        <v>0.0125</v>
      </c>
      <c r="Q12" s="15">
        <f aca="true" t="shared" si="10" ref="Q12:Q25">N12*12+Q11</f>
        <v>16035.245824000966</v>
      </c>
      <c r="R12" s="16">
        <f aca="true" t="shared" si="11" ref="R12:R25">L12</f>
        <v>188899.97573318117</v>
      </c>
      <c r="S12" s="20">
        <f aca="true" t="shared" si="12" ref="S12:S25">Q12+R12</f>
        <v>204935.22155718214</v>
      </c>
      <c r="T12" s="25">
        <f>$C$10*12+T11</f>
        <v>18114.912084419244</v>
      </c>
      <c r="U12" s="16">
        <f aca="true" t="shared" si="13" ref="U12:U25">D12</f>
        <v>190304.45157270718</v>
      </c>
      <c r="V12" s="20">
        <f aca="true" t="shared" si="14" ref="V12:V25">T12+U12</f>
        <v>208419.36365712644</v>
      </c>
      <c r="W12" s="66">
        <f aca="true" t="shared" si="15" ref="W12:W25">V12-S12</f>
        <v>3484.1420999442926</v>
      </c>
      <c r="Y12" s="100"/>
      <c r="Z12" s="100"/>
      <c r="AA12" s="100"/>
      <c r="AB12" s="100"/>
    </row>
    <row r="13" spans="1:23" ht="12.75">
      <c r="A13" s="60">
        <v>3</v>
      </c>
      <c r="B13" s="60">
        <f t="shared" si="0"/>
        <v>0.0017954282407407407</v>
      </c>
      <c r="C13" s="61">
        <f t="shared" si="4"/>
        <v>754.7880035174685</v>
      </c>
      <c r="D13" s="62">
        <f t="shared" si="1"/>
        <v>185297.88439317432</v>
      </c>
      <c r="E13" s="60">
        <f t="shared" si="2"/>
        <v>0.0010561342592592593</v>
      </c>
      <c r="F13" s="61">
        <f t="shared" si="5"/>
        <v>668.1352426667069</v>
      </c>
      <c r="G13" s="62">
        <f t="shared" si="6"/>
        <v>183243.61648613322</v>
      </c>
      <c r="H13" s="63">
        <f t="shared" si="7"/>
        <v>3</v>
      </c>
      <c r="I13" s="14">
        <f t="shared" si="8"/>
        <v>0.0010561342592592593</v>
      </c>
      <c r="J13" s="64">
        <f t="shared" si="3"/>
        <v>183243.61648613322</v>
      </c>
      <c r="K13" s="14">
        <v>3</v>
      </c>
      <c r="L13" s="64">
        <f t="shared" si="9"/>
        <v>183243.61648613322</v>
      </c>
      <c r="M13" s="64">
        <f aca="true" t="shared" si="16" ref="M13:M40">IF(J12=0,0,(PMT(P13/12/360*365,$D$6-(H12*12),-L12)))</f>
        <v>668.1352426667072</v>
      </c>
      <c r="N13" s="64">
        <f aca="true" t="shared" si="17" ref="N13:N40">IF(J12=0,0,(PMT(P13/12/360*365,$D$6-(H12*12),-J12)))</f>
        <v>668.1352426667072</v>
      </c>
      <c r="O13" s="65"/>
      <c r="P13" s="12">
        <v>0.0125</v>
      </c>
      <c r="Q13" s="15">
        <f t="shared" si="10"/>
        <v>24052.868736001452</v>
      </c>
      <c r="R13" s="16">
        <f t="shared" si="11"/>
        <v>183243.61648613322</v>
      </c>
      <c r="S13" s="20">
        <f t="shared" si="12"/>
        <v>207296.48522213468</v>
      </c>
      <c r="T13" s="25">
        <f aca="true" t="shared" si="18" ref="T13:T25">$C$10*12+T12</f>
        <v>27172.368126628866</v>
      </c>
      <c r="U13" s="16">
        <f t="shared" si="13"/>
        <v>185297.88439317432</v>
      </c>
      <c r="V13" s="20">
        <f t="shared" si="14"/>
        <v>212470.25251980318</v>
      </c>
      <c r="W13" s="66">
        <f t="shared" si="15"/>
        <v>5173.767297668499</v>
      </c>
    </row>
    <row r="14" spans="1:28" ht="12.75">
      <c r="A14" s="60">
        <v>4</v>
      </c>
      <c r="B14" s="60">
        <f t="shared" si="0"/>
        <v>0.0017954282407407407</v>
      </c>
      <c r="C14" s="61">
        <f t="shared" si="4"/>
        <v>754.7880035174685</v>
      </c>
      <c r="D14" s="62">
        <f t="shared" si="1"/>
        <v>180182.3784549222</v>
      </c>
      <c r="E14" s="60">
        <f t="shared" si="2"/>
        <v>0.0010561342592592593</v>
      </c>
      <c r="F14" s="61">
        <f t="shared" si="5"/>
        <v>668.1352426667069</v>
      </c>
      <c r="G14" s="62">
        <f t="shared" si="6"/>
        <v>177515.15286413906</v>
      </c>
      <c r="H14" s="63">
        <f t="shared" si="7"/>
        <v>4</v>
      </c>
      <c r="I14" s="14">
        <f t="shared" si="8"/>
        <v>0.0011617476851851854</v>
      </c>
      <c r="J14" s="64">
        <f t="shared" si="3"/>
        <v>177614.39773500356</v>
      </c>
      <c r="K14" s="14">
        <v>4</v>
      </c>
      <c r="L14" s="64">
        <f t="shared" si="9"/>
        <v>177614.39773500356</v>
      </c>
      <c r="M14" s="64">
        <f t="shared" si="16"/>
        <v>678.9945731263617</v>
      </c>
      <c r="N14" s="64">
        <f t="shared" si="17"/>
        <v>678.9945731263617</v>
      </c>
      <c r="O14" s="65"/>
      <c r="P14" s="12">
        <v>0.01375</v>
      </c>
      <c r="Q14" s="15">
        <f t="shared" si="10"/>
        <v>32200.803613517794</v>
      </c>
      <c r="R14" s="16">
        <f t="shared" si="11"/>
        <v>177614.39773500356</v>
      </c>
      <c r="S14" s="20">
        <f t="shared" si="12"/>
        <v>209815.20134852134</v>
      </c>
      <c r="T14" s="25">
        <f t="shared" si="18"/>
        <v>36229.82416883849</v>
      </c>
      <c r="U14" s="16">
        <f t="shared" si="13"/>
        <v>180182.3784549222</v>
      </c>
      <c r="V14" s="20">
        <f t="shared" si="14"/>
        <v>216412.20262376068</v>
      </c>
      <c r="W14" s="66">
        <f t="shared" si="15"/>
        <v>6597.001275239338</v>
      </c>
      <c r="Y14" s="110" t="s">
        <v>30</v>
      </c>
      <c r="Z14" s="110"/>
      <c r="AA14" s="110"/>
      <c r="AB14" s="110"/>
    </row>
    <row r="15" spans="1:28" ht="12.75">
      <c r="A15" s="60">
        <v>5</v>
      </c>
      <c r="B15" s="60">
        <f t="shared" si="0"/>
        <v>0.0017954282407407407</v>
      </c>
      <c r="C15" s="61">
        <f t="shared" si="4"/>
        <v>754.7880035174685</v>
      </c>
      <c r="D15" s="62">
        <f t="shared" si="1"/>
        <v>174955.56334071167</v>
      </c>
      <c r="E15" s="60">
        <f t="shared" si="2"/>
        <v>0.0010561342592592593</v>
      </c>
      <c r="F15" s="61">
        <f t="shared" si="5"/>
        <v>668.1352426667069</v>
      </c>
      <c r="G15" s="62">
        <f t="shared" si="6"/>
        <v>171713.66571750195</v>
      </c>
      <c r="H15" s="63">
        <f t="shared" si="7"/>
        <v>5</v>
      </c>
      <c r="I15" s="14">
        <f t="shared" si="8"/>
        <v>0.0012673611111111112</v>
      </c>
      <c r="J15" s="64">
        <f t="shared" si="3"/>
        <v>172001.61791512315</v>
      </c>
      <c r="K15" s="14">
        <v>5</v>
      </c>
      <c r="L15" s="64">
        <f t="shared" si="9"/>
        <v>172001.61791512315</v>
      </c>
      <c r="M15" s="64">
        <f t="shared" si="16"/>
        <v>689.5818620992475</v>
      </c>
      <c r="N15" s="64">
        <f t="shared" si="17"/>
        <v>689.5818620992475</v>
      </c>
      <c r="O15" s="65"/>
      <c r="P15" s="12">
        <v>0.015</v>
      </c>
      <c r="Q15" s="15">
        <f t="shared" si="10"/>
        <v>40475.78595870876</v>
      </c>
      <c r="R15" s="16">
        <f t="shared" si="11"/>
        <v>172001.61791512315</v>
      </c>
      <c r="S15" s="20">
        <f t="shared" si="12"/>
        <v>212477.4038738319</v>
      </c>
      <c r="T15" s="25">
        <f t="shared" si="18"/>
        <v>45287.28021104811</v>
      </c>
      <c r="U15" s="16">
        <f t="shared" si="13"/>
        <v>174955.56334071167</v>
      </c>
      <c r="V15" s="20">
        <f t="shared" si="14"/>
        <v>220242.84355175978</v>
      </c>
      <c r="W15" s="66">
        <f t="shared" si="15"/>
        <v>7765.439677927876</v>
      </c>
      <c r="Y15" s="110"/>
      <c r="Z15" s="110"/>
      <c r="AA15" s="110"/>
      <c r="AB15" s="110"/>
    </row>
    <row r="16" spans="1:28" ht="12.75" customHeight="1">
      <c r="A16" s="60">
        <v>6</v>
      </c>
      <c r="B16" s="60">
        <f t="shared" si="0"/>
        <v>0.0017954282407407407</v>
      </c>
      <c r="C16" s="61">
        <f t="shared" si="4"/>
        <v>754.7880035174685</v>
      </c>
      <c r="D16" s="62">
        <f t="shared" si="1"/>
        <v>169615.01705498606</v>
      </c>
      <c r="E16" s="60">
        <f t="shared" si="2"/>
        <v>0.0010561342592592593</v>
      </c>
      <c r="F16" s="61">
        <f t="shared" si="5"/>
        <v>668.1352426667069</v>
      </c>
      <c r="G16" s="62">
        <f t="shared" si="6"/>
        <v>165838.22417967493</v>
      </c>
      <c r="H16" s="63">
        <f t="shared" si="7"/>
        <v>6</v>
      </c>
      <c r="I16" s="14">
        <f t="shared" si="8"/>
        <v>0.0013729745370370371</v>
      </c>
      <c r="J16" s="64">
        <f t="shared" si="3"/>
        <v>166394.60970302485</v>
      </c>
      <c r="K16" s="14">
        <v>6</v>
      </c>
      <c r="L16" s="64">
        <f t="shared" si="9"/>
        <v>166394.60970302485</v>
      </c>
      <c r="M16" s="64">
        <f t="shared" si="16"/>
        <v>699.8866368576602</v>
      </c>
      <c r="N16" s="64">
        <f>IF(J15=0,0,(PMT(P16/12/360*365,$D$6-(H15*12),-J15)))</f>
        <v>699.8866368576602</v>
      </c>
      <c r="O16" s="65"/>
      <c r="P16" s="12">
        <v>0.01625</v>
      </c>
      <c r="Q16" s="15">
        <f t="shared" si="10"/>
        <v>48874.42560100068</v>
      </c>
      <c r="R16" s="16">
        <f t="shared" si="11"/>
        <v>166394.60970302485</v>
      </c>
      <c r="S16" s="20">
        <f t="shared" si="12"/>
        <v>215269.0353040255</v>
      </c>
      <c r="T16" s="25">
        <f t="shared" si="18"/>
        <v>54344.73625325774</v>
      </c>
      <c r="U16" s="16">
        <f t="shared" si="13"/>
        <v>169615.01705498606</v>
      </c>
      <c r="V16" s="20">
        <f t="shared" si="14"/>
        <v>223959.75330824382</v>
      </c>
      <c r="W16" s="66">
        <f t="shared" si="15"/>
        <v>8690.718004218303</v>
      </c>
      <c r="Y16" s="110"/>
      <c r="Z16" s="110"/>
      <c r="AA16" s="110"/>
      <c r="AB16" s="110"/>
    </row>
    <row r="17" spans="1:28" ht="12.75">
      <c r="A17" s="60">
        <v>7</v>
      </c>
      <c r="B17" s="60">
        <f t="shared" si="0"/>
        <v>0.0017954282407407407</v>
      </c>
      <c r="C17" s="61">
        <f t="shared" si="4"/>
        <v>754.7880035174685</v>
      </c>
      <c r="D17" s="62">
        <f t="shared" si="1"/>
        <v>164158.2649015697</v>
      </c>
      <c r="E17" s="60">
        <f t="shared" si="2"/>
        <v>0.0010561342592592593</v>
      </c>
      <c r="F17" s="61">
        <f t="shared" si="5"/>
        <v>668.1352426667069</v>
      </c>
      <c r="G17" s="62">
        <f t="shared" si="6"/>
        <v>159887.88551790034</v>
      </c>
      <c r="H17" s="63">
        <f t="shared" si="7"/>
        <v>7</v>
      </c>
      <c r="I17" s="14">
        <f t="shared" si="8"/>
        <v>0.001478587962962963</v>
      </c>
      <c r="J17" s="64">
        <f t="shared" si="3"/>
        <v>160782.6842042275</v>
      </c>
      <c r="K17" s="14">
        <v>7</v>
      </c>
      <c r="L17" s="64">
        <f t="shared" si="9"/>
        <v>160782.6842042275</v>
      </c>
      <c r="M17" s="64">
        <f t="shared" si="16"/>
        <v>709.8985757117667</v>
      </c>
      <c r="N17" s="64">
        <f t="shared" si="17"/>
        <v>709.8985757117667</v>
      </c>
      <c r="O17" s="65"/>
      <c r="P17" s="12">
        <v>0.0175</v>
      </c>
      <c r="Q17" s="15">
        <f t="shared" si="10"/>
        <v>57393.20850954188</v>
      </c>
      <c r="R17" s="16">
        <f t="shared" si="11"/>
        <v>160782.6842042275</v>
      </c>
      <c r="S17" s="20">
        <f t="shared" si="12"/>
        <v>218175.89271376937</v>
      </c>
      <c r="T17" s="25">
        <f t="shared" si="18"/>
        <v>63402.192295467365</v>
      </c>
      <c r="U17" s="16">
        <f t="shared" si="13"/>
        <v>164158.2649015697</v>
      </c>
      <c r="V17" s="20">
        <f t="shared" si="14"/>
        <v>227560.45719703706</v>
      </c>
      <c r="W17" s="66">
        <f t="shared" si="15"/>
        <v>9384.564483267692</v>
      </c>
      <c r="Y17" s="110"/>
      <c r="Z17" s="110"/>
      <c r="AA17" s="110"/>
      <c r="AB17" s="110"/>
    </row>
    <row r="18" spans="1:28" ht="12.75">
      <c r="A18" s="60">
        <v>8</v>
      </c>
      <c r="B18" s="60">
        <f t="shared" si="0"/>
        <v>0.0017954282407407407</v>
      </c>
      <c r="C18" s="61">
        <f t="shared" si="4"/>
        <v>754.7880035174685</v>
      </c>
      <c r="D18" s="62">
        <f t="shared" si="1"/>
        <v>158582.77833694598</v>
      </c>
      <c r="E18" s="60">
        <f t="shared" si="2"/>
        <v>0.0010561342592592593</v>
      </c>
      <c r="F18" s="61">
        <f t="shared" si="5"/>
        <v>668.1352426667069</v>
      </c>
      <c r="G18" s="62">
        <f t="shared" si="6"/>
        <v>153861.69498194547</v>
      </c>
      <c r="H18" s="63">
        <f t="shared" si="7"/>
        <v>8</v>
      </c>
      <c r="I18" s="14">
        <f t="shared" si="8"/>
        <v>0.001584201388888889</v>
      </c>
      <c r="J18" s="64">
        <f t="shared" si="3"/>
        <v>155155.07437379958</v>
      </c>
      <c r="K18" s="14">
        <v>8</v>
      </c>
      <c r="L18" s="64">
        <f t="shared" si="9"/>
        <v>155155.07437379958</v>
      </c>
      <c r="M18" s="64">
        <f t="shared" si="16"/>
        <v>719.6074876267805</v>
      </c>
      <c r="N18" s="64">
        <f t="shared" si="17"/>
        <v>719.6074876267805</v>
      </c>
      <c r="O18" s="65"/>
      <c r="P18" s="12">
        <v>0.01875</v>
      </c>
      <c r="Q18" s="15">
        <f t="shared" si="10"/>
        <v>66028.49836106325</v>
      </c>
      <c r="R18" s="16">
        <f t="shared" si="11"/>
        <v>155155.07437379958</v>
      </c>
      <c r="S18" s="20">
        <f t="shared" si="12"/>
        <v>221183.57273486283</v>
      </c>
      <c r="T18" s="25">
        <f t="shared" si="18"/>
        <v>72459.64833767699</v>
      </c>
      <c r="U18" s="16">
        <f t="shared" si="13"/>
        <v>158582.77833694598</v>
      </c>
      <c r="V18" s="20">
        <f t="shared" si="14"/>
        <v>231042.42667462298</v>
      </c>
      <c r="W18" s="66">
        <f t="shared" si="15"/>
        <v>9858.853939760156</v>
      </c>
      <c r="Y18" s="110"/>
      <c r="Z18" s="110"/>
      <c r="AA18" s="110"/>
      <c r="AB18" s="110"/>
    </row>
    <row r="19" spans="1:28" ht="12.75">
      <c r="A19" s="60">
        <v>9</v>
      </c>
      <c r="B19" s="60">
        <f t="shared" si="0"/>
        <v>0.0017954282407407407</v>
      </c>
      <c r="C19" s="61">
        <f t="shared" si="4"/>
        <v>754.7880035174685</v>
      </c>
      <c r="D19" s="62">
        <f t="shared" si="1"/>
        <v>152885.97379858387</v>
      </c>
      <c r="E19" s="60">
        <f t="shared" si="2"/>
        <v>0.0010561342592592593</v>
      </c>
      <c r="F19" s="61">
        <f t="shared" si="5"/>
        <v>668.1352426667069</v>
      </c>
      <c r="G19" s="62">
        <f t="shared" si="6"/>
        <v>147758.68565090987</v>
      </c>
      <c r="H19" s="63">
        <f t="shared" si="7"/>
        <v>9</v>
      </c>
      <c r="I19" s="14">
        <f t="shared" si="8"/>
        <v>0.0016898148148148148</v>
      </c>
      <c r="J19" s="64">
        <f t="shared" si="3"/>
        <v>149500.87721186044</v>
      </c>
      <c r="K19" s="14">
        <v>9</v>
      </c>
      <c r="L19" s="64">
        <f t="shared" si="9"/>
        <v>149500.87721186044</v>
      </c>
      <c r="M19" s="64">
        <f t="shared" si="16"/>
        <v>729.003292773421</v>
      </c>
      <c r="N19" s="64">
        <f t="shared" si="17"/>
        <v>729.003292773421</v>
      </c>
      <c r="O19" s="65"/>
      <c r="P19" s="12">
        <v>0.02</v>
      </c>
      <c r="Q19" s="15">
        <f t="shared" si="10"/>
        <v>74776.5378743443</v>
      </c>
      <c r="R19" s="16">
        <f t="shared" si="11"/>
        <v>149500.87721186044</v>
      </c>
      <c r="S19" s="20">
        <f t="shared" si="12"/>
        <v>224277.41508620474</v>
      </c>
      <c r="T19" s="25">
        <f t="shared" si="18"/>
        <v>81517.10437988662</v>
      </c>
      <c r="U19" s="16">
        <f t="shared" si="13"/>
        <v>152885.97379858387</v>
      </c>
      <c r="V19" s="20">
        <f t="shared" si="14"/>
        <v>234403.0781784705</v>
      </c>
      <c r="W19" s="66">
        <f t="shared" si="15"/>
        <v>10125.66309226575</v>
      </c>
      <c r="Y19" s="110"/>
      <c r="Z19" s="110"/>
      <c r="AA19" s="110"/>
      <c r="AB19" s="110"/>
    </row>
    <row r="20" spans="1:23" ht="12.75">
      <c r="A20" s="60">
        <v>10</v>
      </c>
      <c r="B20" s="60">
        <f t="shared" si="0"/>
        <v>0.0017954282407407407</v>
      </c>
      <c r="C20" s="61">
        <f t="shared" si="4"/>
        <v>754.7880035174685</v>
      </c>
      <c r="D20" s="62">
        <f t="shared" si="1"/>
        <v>147065.21150776965</v>
      </c>
      <c r="E20" s="60">
        <f t="shared" si="2"/>
        <v>0.0010561342592592593</v>
      </c>
      <c r="F20" s="61">
        <f t="shared" si="5"/>
        <v>668.1352426667069</v>
      </c>
      <c r="G20" s="62">
        <f t="shared" si="6"/>
        <v>141577.87827808</v>
      </c>
      <c r="H20" s="63">
        <f t="shared" si="7"/>
        <v>10</v>
      </c>
      <c r="I20" s="14">
        <f t="shared" si="8"/>
        <v>0.001795428240740741</v>
      </c>
      <c r="J20" s="64">
        <f t="shared" si="3"/>
        <v>143808.99425558007</v>
      </c>
      <c r="K20" s="14">
        <v>10</v>
      </c>
      <c r="L20" s="64">
        <f t="shared" si="9"/>
        <v>143808.99425558007</v>
      </c>
      <c r="M20" s="64">
        <f t="shared" si="16"/>
        <v>738.0760041697112</v>
      </c>
      <c r="N20" s="64">
        <f t="shared" si="17"/>
        <v>738.0760041697112</v>
      </c>
      <c r="O20" s="65"/>
      <c r="P20" s="12">
        <v>0.02125</v>
      </c>
      <c r="Q20" s="15">
        <f t="shared" si="10"/>
        <v>83633.44992438084</v>
      </c>
      <c r="R20" s="16">
        <f t="shared" si="11"/>
        <v>143808.99425558007</v>
      </c>
      <c r="S20" s="20">
        <f t="shared" si="12"/>
        <v>227442.4441799609</v>
      </c>
      <c r="T20" s="25">
        <f t="shared" si="18"/>
        <v>90574.56042209624</v>
      </c>
      <c r="U20" s="16">
        <f t="shared" si="13"/>
        <v>147065.21150776965</v>
      </c>
      <c r="V20" s="20">
        <f t="shared" si="14"/>
        <v>237639.77192986588</v>
      </c>
      <c r="W20" s="66">
        <f t="shared" si="15"/>
        <v>10197.327749904973</v>
      </c>
    </row>
    <row r="21" spans="1:28" ht="12.75">
      <c r="A21" s="60">
        <v>11</v>
      </c>
      <c r="B21" s="60">
        <f t="shared" si="0"/>
        <v>0.0017954282407407407</v>
      </c>
      <c r="C21" s="61">
        <f t="shared" si="4"/>
        <v>754.7880035174685</v>
      </c>
      <c r="D21" s="62">
        <f t="shared" si="1"/>
        <v>141117.79424638927</v>
      </c>
      <c r="E21" s="60">
        <f t="shared" si="2"/>
        <v>0.0010561342592592593</v>
      </c>
      <c r="F21" s="61">
        <f t="shared" si="5"/>
        <v>668.1352426667069</v>
      </c>
      <c r="G21" s="62">
        <f t="shared" si="6"/>
        <v>135318.28113380598</v>
      </c>
      <c r="H21" s="63">
        <f t="shared" si="7"/>
        <v>11</v>
      </c>
      <c r="I21" s="14">
        <f t="shared" si="8"/>
        <v>0.0019010416666666665</v>
      </c>
      <c r="J21" s="64">
        <f t="shared" si="3"/>
        <v>138068.06986342324</v>
      </c>
      <c r="K21" s="14">
        <v>11</v>
      </c>
      <c r="L21" s="64">
        <f t="shared" si="9"/>
        <v>138068.06986342324</v>
      </c>
      <c r="M21" s="64">
        <f t="shared" si="16"/>
        <v>746.8157105663286</v>
      </c>
      <c r="N21" s="64">
        <f t="shared" si="17"/>
        <v>746.8157105663286</v>
      </c>
      <c r="O21" s="65"/>
      <c r="P21" s="12">
        <v>0.0225</v>
      </c>
      <c r="Q21" s="15">
        <f t="shared" si="10"/>
        <v>92595.23845117679</v>
      </c>
      <c r="R21" s="16">
        <f t="shared" si="11"/>
        <v>138068.06986342324</v>
      </c>
      <c r="S21" s="20">
        <f t="shared" si="12"/>
        <v>230663.30831460003</v>
      </c>
      <c r="T21" s="25">
        <f t="shared" si="18"/>
        <v>99632.01646430587</v>
      </c>
      <c r="U21" s="16">
        <f t="shared" si="13"/>
        <v>141117.79424638927</v>
      </c>
      <c r="V21" s="20">
        <f t="shared" si="14"/>
        <v>240749.81071069514</v>
      </c>
      <c r="W21" s="66">
        <f t="shared" si="15"/>
        <v>10086.502396095108</v>
      </c>
      <c r="Y21" s="111" t="s">
        <v>26</v>
      </c>
      <c r="Z21" s="111"/>
      <c r="AA21" s="111"/>
      <c r="AB21" s="111"/>
    </row>
    <row r="22" spans="1:28" ht="12.75" customHeight="1">
      <c r="A22" s="60">
        <v>12</v>
      </c>
      <c r="B22" s="60">
        <f t="shared" si="0"/>
        <v>0.0017954282407407407</v>
      </c>
      <c r="C22" s="61">
        <f t="shared" si="4"/>
        <v>754.7880035174685</v>
      </c>
      <c r="D22" s="62">
        <f t="shared" si="1"/>
        <v>135040.9661070946</v>
      </c>
      <c r="E22" s="60">
        <f t="shared" si="2"/>
        <v>0.0010561342592592593</v>
      </c>
      <c r="F22" s="61">
        <f t="shared" si="5"/>
        <v>668.1352426667069</v>
      </c>
      <c r="G22" s="62">
        <f t="shared" si="6"/>
        <v>128978.88984637553</v>
      </c>
      <c r="H22" s="63">
        <f t="shared" si="7"/>
        <v>12</v>
      </c>
      <c r="I22" s="14">
        <f t="shared" si="8"/>
        <v>0.002006655092592593</v>
      </c>
      <c r="J22" s="64">
        <f t="shared" si="3"/>
        <v>132266.4267559842</v>
      </c>
      <c r="K22" s="14">
        <v>12</v>
      </c>
      <c r="L22" s="64">
        <f t="shared" si="9"/>
        <v>132266.4267559842</v>
      </c>
      <c r="M22" s="64">
        <f t="shared" si="16"/>
        <v>755.2125607242823</v>
      </c>
      <c r="N22" s="64">
        <f t="shared" si="17"/>
        <v>755.2125607242823</v>
      </c>
      <c r="O22" s="65"/>
      <c r="P22" s="12">
        <v>0.02375</v>
      </c>
      <c r="Q22" s="15">
        <f t="shared" si="10"/>
        <v>101657.78917986818</v>
      </c>
      <c r="R22" s="16">
        <f t="shared" si="11"/>
        <v>132266.4267559842</v>
      </c>
      <c r="S22" s="20">
        <f t="shared" si="12"/>
        <v>233924.21593585238</v>
      </c>
      <c r="T22" s="25">
        <f t="shared" si="18"/>
        <v>108689.47250651549</v>
      </c>
      <c r="U22" s="16">
        <f t="shared" si="13"/>
        <v>135040.9661070946</v>
      </c>
      <c r="V22" s="20">
        <f t="shared" si="14"/>
        <v>243730.4386136101</v>
      </c>
      <c r="W22" s="66">
        <f t="shared" si="15"/>
        <v>9806.22267775773</v>
      </c>
      <c r="Y22" s="111"/>
      <c r="Z22" s="111"/>
      <c r="AA22" s="111"/>
      <c r="AB22" s="111"/>
    </row>
    <row r="23" spans="1:28" ht="12.75">
      <c r="A23" s="60">
        <v>13</v>
      </c>
      <c r="B23" s="60">
        <f t="shared" si="0"/>
        <v>0.0017954282407407407</v>
      </c>
      <c r="C23" s="61">
        <f t="shared" si="4"/>
        <v>754.7880035174685</v>
      </c>
      <c r="D23" s="62">
        <f t="shared" si="1"/>
        <v>128831.91121627417</v>
      </c>
      <c r="E23" s="60">
        <f t="shared" si="2"/>
        <v>0.0010561342592592593</v>
      </c>
      <c r="F23" s="61">
        <f t="shared" si="5"/>
        <v>668.1352426667069</v>
      </c>
      <c r="G23" s="62">
        <f t="shared" si="6"/>
        <v>122558.68724085946</v>
      </c>
      <c r="H23" s="63">
        <f t="shared" si="7"/>
        <v>13</v>
      </c>
      <c r="I23" s="14">
        <f t="shared" si="8"/>
        <v>0.0021122685185185185</v>
      </c>
      <c r="J23" s="64">
        <f t="shared" si="3"/>
        <v>126391.99824022636</v>
      </c>
      <c r="K23" s="14">
        <v>13</v>
      </c>
      <c r="L23" s="64">
        <f t="shared" si="9"/>
        <v>126391.99824022636</v>
      </c>
      <c r="M23" s="64">
        <f t="shared" si="16"/>
        <v>763.2567492328141</v>
      </c>
      <c r="N23" s="64">
        <f t="shared" si="17"/>
        <v>763.2567492328141</v>
      </c>
      <c r="O23" s="65"/>
      <c r="P23" s="12">
        <v>0.025</v>
      </c>
      <c r="Q23" s="15">
        <f t="shared" si="10"/>
        <v>110816.87017066195</v>
      </c>
      <c r="R23" s="16">
        <f t="shared" si="11"/>
        <v>126391.99824022636</v>
      </c>
      <c r="S23" s="20">
        <f t="shared" si="12"/>
        <v>237208.8684108883</v>
      </c>
      <c r="T23" s="25">
        <f t="shared" si="18"/>
        <v>117746.92854872512</v>
      </c>
      <c r="U23" s="16">
        <f t="shared" si="13"/>
        <v>128831.91121627417</v>
      </c>
      <c r="V23" s="20">
        <f t="shared" si="14"/>
        <v>246578.83976499928</v>
      </c>
      <c r="W23" s="66">
        <f t="shared" si="15"/>
        <v>9369.971354110981</v>
      </c>
      <c r="Y23" s="111"/>
      <c r="Z23" s="111"/>
      <c r="AA23" s="111"/>
      <c r="AB23" s="111"/>
    </row>
    <row r="24" spans="1:28" ht="12.75">
      <c r="A24" s="60">
        <v>14</v>
      </c>
      <c r="B24" s="60">
        <f t="shared" si="0"/>
        <v>0.0017954282407407407</v>
      </c>
      <c r="C24" s="61">
        <f t="shared" si="4"/>
        <v>754.7880035174685</v>
      </c>
      <c r="D24" s="62">
        <f t="shared" si="1"/>
        <v>122487.752429237</v>
      </c>
      <c r="E24" s="60">
        <f t="shared" si="2"/>
        <v>0.0010561342592592593</v>
      </c>
      <c r="F24" s="61">
        <f t="shared" si="5"/>
        <v>668.1352426667069</v>
      </c>
      <c r="G24" s="62">
        <f t="shared" si="6"/>
        <v>116056.64317590278</v>
      </c>
      <c r="H24" s="63">
        <f t="shared" si="7"/>
        <v>14</v>
      </c>
      <c r="I24" s="14">
        <f t="shared" si="8"/>
        <v>0.002217881944444444</v>
      </c>
      <c r="J24" s="64">
        <f t="shared" si="3"/>
        <v>120432.25649974511</v>
      </c>
      <c r="K24" s="14">
        <v>14</v>
      </c>
      <c r="L24" s="64">
        <f t="shared" si="9"/>
        <v>120432.25649974511</v>
      </c>
      <c r="M24" s="64">
        <f t="shared" si="16"/>
        <v>770.9385040166551</v>
      </c>
      <c r="N24" s="64">
        <f t="shared" si="17"/>
        <v>770.9385040166551</v>
      </c>
      <c r="O24" s="65"/>
      <c r="P24" s="12">
        <v>0.02625</v>
      </c>
      <c r="Q24" s="15">
        <f t="shared" si="10"/>
        <v>120068.1322188618</v>
      </c>
      <c r="R24" s="16">
        <f t="shared" si="11"/>
        <v>120432.25649974511</v>
      </c>
      <c r="S24" s="20">
        <f t="shared" si="12"/>
        <v>240500.3887186069</v>
      </c>
      <c r="T24" s="25">
        <f t="shared" si="18"/>
        <v>126804.38459093474</v>
      </c>
      <c r="U24" s="16">
        <f t="shared" si="13"/>
        <v>122487.752429237</v>
      </c>
      <c r="V24" s="20">
        <f t="shared" si="14"/>
        <v>249292.13702017174</v>
      </c>
      <c r="W24" s="66">
        <f t="shared" si="15"/>
        <v>8791.748301564832</v>
      </c>
      <c r="Y24" s="111"/>
      <c r="Z24" s="111"/>
      <c r="AA24" s="111"/>
      <c r="AB24" s="111"/>
    </row>
    <row r="25" spans="1:28" ht="13.5" thickBot="1">
      <c r="A25" s="67">
        <v>15</v>
      </c>
      <c r="B25" s="67">
        <f t="shared" si="0"/>
        <v>0.0017954282407407407</v>
      </c>
      <c r="C25" s="68">
        <f t="shared" si="4"/>
        <v>754.7880035174685</v>
      </c>
      <c r="D25" s="69">
        <f t="shared" si="1"/>
        <v>116005.54999700456</v>
      </c>
      <c r="E25" s="67">
        <f t="shared" si="2"/>
        <v>0.0010561342592592593</v>
      </c>
      <c r="F25" s="68">
        <f t="shared" si="5"/>
        <v>668.1352426667069</v>
      </c>
      <c r="G25" s="69">
        <f t="shared" si="6"/>
        <v>109471.71437843531</v>
      </c>
      <c r="H25" s="70">
        <f t="shared" si="7"/>
        <v>15</v>
      </c>
      <c r="I25" s="71">
        <f t="shared" si="8"/>
        <v>0.0023234953703703707</v>
      </c>
      <c r="J25" s="72">
        <f t="shared" si="3"/>
        <v>114374.13628207041</v>
      </c>
      <c r="K25" s="71">
        <v>15</v>
      </c>
      <c r="L25" s="72">
        <f t="shared" si="9"/>
        <v>114374.13628207041</v>
      </c>
      <c r="M25" s="72">
        <f t="shared" si="16"/>
        <v>778.2480756852541</v>
      </c>
      <c r="N25" s="72">
        <f t="shared" si="17"/>
        <v>778.2480756852541</v>
      </c>
      <c r="O25" s="98"/>
      <c r="P25" s="101">
        <v>0.0275</v>
      </c>
      <c r="Q25" s="17">
        <f t="shared" si="10"/>
        <v>129407.10912708486</v>
      </c>
      <c r="R25" s="18">
        <f t="shared" si="11"/>
        <v>114374.13628207041</v>
      </c>
      <c r="S25" s="21">
        <f t="shared" si="12"/>
        <v>243781.24540915526</v>
      </c>
      <c r="T25" s="26">
        <f t="shared" si="18"/>
        <v>135861.84063314437</v>
      </c>
      <c r="U25" s="18">
        <f t="shared" si="13"/>
        <v>116005.54999700456</v>
      </c>
      <c r="V25" s="21">
        <f t="shared" si="14"/>
        <v>251867.39063014893</v>
      </c>
      <c r="W25" s="73">
        <f t="shared" si="15"/>
        <v>8086.145220993669</v>
      </c>
      <c r="Y25" s="111"/>
      <c r="Z25" s="111"/>
      <c r="AA25" s="111"/>
      <c r="AB25" s="111"/>
    </row>
    <row r="26" spans="1:28" ht="13.5" thickTop="1">
      <c r="A26" s="74">
        <v>16</v>
      </c>
      <c r="B26" s="74">
        <f t="shared" si="0"/>
        <v>0.0017954282407407407</v>
      </c>
      <c r="C26" s="75">
        <f t="shared" si="4"/>
        <v>754.7880035174685</v>
      </c>
      <c r="D26" s="76">
        <f t="shared" si="1"/>
        <v>109382.30020409329</v>
      </c>
      <c r="E26" s="74">
        <f t="shared" si="2"/>
        <v>0.0010561342592592593</v>
      </c>
      <c r="F26" s="75">
        <f t="shared" si="5"/>
        <v>668.1352426667069</v>
      </c>
      <c r="G26" s="76">
        <f t="shared" si="6"/>
        <v>102802.84427627531</v>
      </c>
      <c r="H26" s="77">
        <f t="shared" si="7"/>
        <v>16</v>
      </c>
      <c r="I26" s="78">
        <f t="shared" si="8"/>
        <v>0.002957175925925926</v>
      </c>
      <c r="J26" s="79">
        <f t="shared" si="3"/>
        <v>108493.30766803528</v>
      </c>
      <c r="K26" s="78">
        <v>16</v>
      </c>
      <c r="L26" s="79">
        <f t="shared" si="9"/>
        <v>108493.30766803528</v>
      </c>
      <c r="M26" s="79">
        <f t="shared" si="16"/>
        <v>820.3737749559424</v>
      </c>
      <c r="N26" s="79">
        <f t="shared" si="17"/>
        <v>820.3737749559424</v>
      </c>
      <c r="O26" s="80"/>
      <c r="P26" s="81">
        <v>0.035</v>
      </c>
      <c r="Y26" s="111"/>
      <c r="Z26" s="111"/>
      <c r="AA26" s="111"/>
      <c r="AB26" s="111"/>
    </row>
    <row r="27" spans="1:28" ht="12.75">
      <c r="A27" s="74">
        <v>17</v>
      </c>
      <c r="B27" s="74">
        <f t="shared" si="0"/>
        <v>0.0017954282407407407</v>
      </c>
      <c r="C27" s="75">
        <f t="shared" si="4"/>
        <v>754.7880035174685</v>
      </c>
      <c r="D27" s="76">
        <f t="shared" si="1"/>
        <v>102614.93397665636</v>
      </c>
      <c r="E27" s="74">
        <f t="shared" si="2"/>
        <v>0.0010561342592592593</v>
      </c>
      <c r="F27" s="75">
        <f t="shared" si="5"/>
        <v>668.1352426667069</v>
      </c>
      <c r="G27" s="76">
        <f t="shared" si="6"/>
        <v>96048.96282859924</v>
      </c>
      <c r="H27" s="82">
        <f t="shared" si="7"/>
        <v>17</v>
      </c>
      <c r="I27" s="8">
        <f t="shared" si="8"/>
        <v>0.002957175925925926</v>
      </c>
      <c r="J27" s="83">
        <f t="shared" si="3"/>
        <v>102400.36344032208</v>
      </c>
      <c r="K27" s="8">
        <v>17</v>
      </c>
      <c r="L27" s="83">
        <f t="shared" si="9"/>
        <v>102400.36344032208</v>
      </c>
      <c r="M27" s="83">
        <f t="shared" si="16"/>
        <v>820.3737749559432</v>
      </c>
      <c r="N27" s="83">
        <f t="shared" si="17"/>
        <v>820.3737749559432</v>
      </c>
      <c r="O27" s="80"/>
      <c r="P27" s="84">
        <v>0.035</v>
      </c>
      <c r="Y27" s="111"/>
      <c r="Z27" s="111"/>
      <c r="AA27" s="111"/>
      <c r="AB27" s="111"/>
    </row>
    <row r="28" spans="1:16" ht="12.75">
      <c r="A28" s="74">
        <v>18</v>
      </c>
      <c r="B28" s="74">
        <f t="shared" si="0"/>
        <v>0.0017954282407407407</v>
      </c>
      <c r="C28" s="75">
        <f t="shared" si="4"/>
        <v>754.7880035174685</v>
      </c>
      <c r="D28" s="76">
        <f t="shared" si="1"/>
        <v>95700.31546033986</v>
      </c>
      <c r="E28" s="74">
        <f t="shared" si="2"/>
        <v>0.0010561342592592593</v>
      </c>
      <c r="F28" s="75">
        <f t="shared" si="5"/>
        <v>668.1352426667069</v>
      </c>
      <c r="G28" s="76">
        <f t="shared" si="6"/>
        <v>89208.98635425034</v>
      </c>
      <c r="H28" s="82">
        <f t="shared" si="7"/>
        <v>18</v>
      </c>
      <c r="I28" s="8">
        <f t="shared" si="8"/>
        <v>0.003168402777777778</v>
      </c>
      <c r="J28" s="83">
        <f t="shared" si="3"/>
        <v>96190.67990672265</v>
      </c>
      <c r="K28" s="8">
        <v>18</v>
      </c>
      <c r="L28" s="83">
        <f t="shared" si="9"/>
        <v>96190.67990672265</v>
      </c>
      <c r="M28" s="83">
        <f t="shared" si="16"/>
        <v>832.9634222964177</v>
      </c>
      <c r="N28" s="83">
        <f t="shared" si="17"/>
        <v>832.9634222964177</v>
      </c>
      <c r="O28" s="80"/>
      <c r="P28" s="84">
        <v>0.0375</v>
      </c>
    </row>
    <row r="29" spans="1:16" ht="12.75">
      <c r="A29" s="74">
        <v>19</v>
      </c>
      <c r="B29" s="74">
        <f t="shared" si="0"/>
        <v>0.0017954282407407407</v>
      </c>
      <c r="C29" s="75">
        <f t="shared" si="4"/>
        <v>754.7880035174685</v>
      </c>
      <c r="D29" s="76">
        <f t="shared" si="1"/>
        <v>88635.2405671941</v>
      </c>
      <c r="E29" s="74">
        <f t="shared" si="2"/>
        <v>0.0010561342592592593</v>
      </c>
      <c r="F29" s="75">
        <f t="shared" si="5"/>
        <v>668.1352426667069</v>
      </c>
      <c r="G29" s="76">
        <f t="shared" si="6"/>
        <v>82281.81735785873</v>
      </c>
      <c r="H29" s="82">
        <f t="shared" si="7"/>
        <v>19</v>
      </c>
      <c r="I29" s="8">
        <f t="shared" si="8"/>
        <v>0.0033796296296296296</v>
      </c>
      <c r="J29" s="83">
        <f t="shared" si="3"/>
        <v>89837.22563399764</v>
      </c>
      <c r="K29" s="8">
        <v>19</v>
      </c>
      <c r="L29" s="83">
        <f t="shared" si="9"/>
        <v>89837.22563399764</v>
      </c>
      <c r="M29" s="83">
        <f t="shared" si="16"/>
        <v>844.773854642712</v>
      </c>
      <c r="N29" s="83">
        <f t="shared" si="17"/>
        <v>844.773854642712</v>
      </c>
      <c r="O29" s="80"/>
      <c r="P29" s="84">
        <v>0.04</v>
      </c>
    </row>
    <row r="30" spans="1:28" ht="12.75" customHeight="1">
      <c r="A30" s="74">
        <v>20</v>
      </c>
      <c r="B30" s="74">
        <f t="shared" si="0"/>
        <v>0.0017954282407407407</v>
      </c>
      <c r="C30" s="75">
        <f t="shared" si="4"/>
        <v>754.7880035174685</v>
      </c>
      <c r="D30" s="76">
        <f t="shared" si="1"/>
        <v>81416.43549096712</v>
      </c>
      <c r="E30" s="74">
        <f t="shared" si="2"/>
        <v>0.0010561342592592593</v>
      </c>
      <c r="F30" s="75">
        <f t="shared" si="5"/>
        <v>668.1352426667069</v>
      </c>
      <c r="G30" s="76">
        <f t="shared" si="6"/>
        <v>75266.34435374476</v>
      </c>
      <c r="H30" s="82">
        <f t="shared" si="7"/>
        <v>20</v>
      </c>
      <c r="I30" s="8">
        <f t="shared" si="8"/>
        <v>0.003590856481481482</v>
      </c>
      <c r="J30" s="83">
        <f t="shared" si="3"/>
        <v>83311.15268058189</v>
      </c>
      <c r="K30" s="8">
        <v>20</v>
      </c>
      <c r="L30" s="83">
        <f t="shared" si="9"/>
        <v>83311.15268058189</v>
      </c>
      <c r="M30" s="83">
        <f t="shared" si="16"/>
        <v>855.7747378747383</v>
      </c>
      <c r="N30" s="83">
        <f t="shared" si="17"/>
        <v>855.7747378747383</v>
      </c>
      <c r="O30" s="80"/>
      <c r="P30" s="84">
        <v>0.0425</v>
      </c>
      <c r="Y30" s="111" t="s">
        <v>31</v>
      </c>
      <c r="Z30" s="111"/>
      <c r="AA30" s="111"/>
      <c r="AB30" s="111"/>
    </row>
    <row r="31" spans="1:28" ht="12.75" customHeight="1">
      <c r="A31" s="74">
        <v>21</v>
      </c>
      <c r="B31" s="74">
        <f t="shared" si="0"/>
        <v>0.0017954282407407407</v>
      </c>
      <c r="C31" s="75">
        <f t="shared" si="4"/>
        <v>754.7880035174685</v>
      </c>
      <c r="D31" s="76">
        <f t="shared" si="1"/>
        <v>74040.55519009214</v>
      </c>
      <c r="E31" s="74">
        <f t="shared" si="2"/>
        <v>0.0010561342592592593</v>
      </c>
      <c r="F31" s="75">
        <f t="shared" si="5"/>
        <v>668.1352426667069</v>
      </c>
      <c r="G31" s="76">
        <f t="shared" si="6"/>
        <v>68161.44168757781</v>
      </c>
      <c r="H31" s="82">
        <f t="shared" si="7"/>
        <v>21</v>
      </c>
      <c r="I31" s="8">
        <f t="shared" si="8"/>
        <v>0.0034852430555555557</v>
      </c>
      <c r="J31" s="83">
        <f t="shared" si="3"/>
        <v>76456.40344424761</v>
      </c>
      <c r="K31" s="8">
        <v>21</v>
      </c>
      <c r="L31" s="83">
        <f t="shared" si="9"/>
        <v>76456.40344424761</v>
      </c>
      <c r="M31" s="83">
        <f t="shared" si="16"/>
        <v>850.7214615948924</v>
      </c>
      <c r="N31" s="83">
        <f t="shared" si="17"/>
        <v>850.7214615948924</v>
      </c>
      <c r="O31" s="80"/>
      <c r="P31" s="84">
        <v>0.04125</v>
      </c>
      <c r="Y31" s="111"/>
      <c r="Z31" s="111"/>
      <c r="AA31" s="111"/>
      <c r="AB31" s="111"/>
    </row>
    <row r="32" spans="1:28" ht="12.75">
      <c r="A32" s="74">
        <v>22</v>
      </c>
      <c r="B32" s="74">
        <f t="shared" si="0"/>
        <v>0.0017954282407407407</v>
      </c>
      <c r="C32" s="75">
        <f t="shared" si="4"/>
        <v>754.7880035174685</v>
      </c>
      <c r="D32" s="76">
        <f t="shared" si="1"/>
        <v>66504.181837666</v>
      </c>
      <c r="E32" s="74">
        <f t="shared" si="2"/>
        <v>0.0010561342592592593</v>
      </c>
      <c r="F32" s="75">
        <f t="shared" si="5"/>
        <v>668.1352426667069</v>
      </c>
      <c r="G32" s="76">
        <f t="shared" si="6"/>
        <v>60965.96935576152</v>
      </c>
      <c r="H32" s="82">
        <f t="shared" si="7"/>
        <v>22</v>
      </c>
      <c r="I32" s="8">
        <f t="shared" si="8"/>
        <v>0.0033796296296296296</v>
      </c>
      <c r="J32" s="83">
        <f t="shared" si="3"/>
        <v>69270.72839603826</v>
      </c>
      <c r="K32" s="8">
        <v>22</v>
      </c>
      <c r="L32" s="83">
        <f t="shared" si="9"/>
        <v>69270.72839603826</v>
      </c>
      <c r="M32" s="83">
        <f t="shared" si="16"/>
        <v>846.1513564229242</v>
      </c>
      <c r="N32" s="83">
        <f t="shared" si="17"/>
        <v>846.1513564229242</v>
      </c>
      <c r="O32" s="80"/>
      <c r="P32" s="84">
        <v>0.04</v>
      </c>
      <c r="Y32" s="111"/>
      <c r="Z32" s="111"/>
      <c r="AA32" s="111"/>
      <c r="AB32" s="111"/>
    </row>
    <row r="33" spans="1:28" ht="12.75">
      <c r="A33" s="74">
        <v>23</v>
      </c>
      <c r="B33" s="74">
        <f t="shared" si="0"/>
        <v>0.0017954282407407407</v>
      </c>
      <c r="C33" s="75">
        <f t="shared" si="4"/>
        <v>754.7880035174685</v>
      </c>
      <c r="D33" s="76">
        <f t="shared" si="1"/>
        <v>58803.82323770046</v>
      </c>
      <c r="E33" s="74">
        <f t="shared" si="2"/>
        <v>0.0010561342592592593</v>
      </c>
      <c r="F33" s="75">
        <f t="shared" si="5"/>
        <v>668.1352426667069</v>
      </c>
      <c r="G33" s="76">
        <f t="shared" si="6"/>
        <v>53678.77282251667</v>
      </c>
      <c r="H33" s="82">
        <f t="shared" si="7"/>
        <v>23</v>
      </c>
      <c r="I33" s="8">
        <f t="shared" si="8"/>
        <v>0.003168402777777778</v>
      </c>
      <c r="J33" s="83">
        <f t="shared" si="3"/>
        <v>61717.77535499532</v>
      </c>
      <c r="K33" s="8">
        <v>23</v>
      </c>
      <c r="L33" s="83">
        <f t="shared" si="9"/>
        <v>61717.77535499532</v>
      </c>
      <c r="M33" s="83">
        <f t="shared" si="16"/>
        <v>837.9972145592841</v>
      </c>
      <c r="N33" s="83">
        <f t="shared" si="17"/>
        <v>837.9972145592841</v>
      </c>
      <c r="O33" s="80"/>
      <c r="P33" s="84">
        <v>0.0375</v>
      </c>
      <c r="Y33" s="111"/>
      <c r="Z33" s="111"/>
      <c r="AA33" s="111"/>
      <c r="AB33" s="111"/>
    </row>
    <row r="34" spans="1:28" ht="12.75">
      <c r="A34" s="74">
        <v>24</v>
      </c>
      <c r="B34" s="74">
        <f t="shared" si="0"/>
        <v>0.0017954282407407407</v>
      </c>
      <c r="C34" s="75">
        <f t="shared" si="4"/>
        <v>754.7880035174685</v>
      </c>
      <c r="D34" s="76">
        <f t="shared" si="1"/>
        <v>50935.91120691255</v>
      </c>
      <c r="E34" s="74">
        <f t="shared" si="2"/>
        <v>0.0010561342592592593</v>
      </c>
      <c r="F34" s="75">
        <f t="shared" si="5"/>
        <v>668.1352426667069</v>
      </c>
      <c r="G34" s="76">
        <f t="shared" si="6"/>
        <v>46298.682834632404</v>
      </c>
      <c r="H34" s="82">
        <f t="shared" si="7"/>
        <v>24</v>
      </c>
      <c r="I34" s="8">
        <f t="shared" si="8"/>
        <v>0.0025347222222222225</v>
      </c>
      <c r="J34" s="83">
        <f t="shared" si="3"/>
        <v>53683.77703771308</v>
      </c>
      <c r="K34" s="8">
        <v>24</v>
      </c>
      <c r="L34" s="83">
        <f t="shared" si="9"/>
        <v>53683.77703771308</v>
      </c>
      <c r="M34" s="83">
        <f t="shared" si="16"/>
        <v>816.6549903934842</v>
      </c>
      <c r="N34" s="83">
        <f t="shared" si="17"/>
        <v>816.6549903934842</v>
      </c>
      <c r="O34" s="80"/>
      <c r="P34" s="84">
        <v>0.03</v>
      </c>
      <c r="Y34" s="111"/>
      <c r="Z34" s="111"/>
      <c r="AA34" s="111"/>
      <c r="AB34" s="111"/>
    </row>
    <row r="35" spans="1:28" ht="12.75">
      <c r="A35" s="74">
        <v>25</v>
      </c>
      <c r="B35" s="74">
        <f t="shared" si="0"/>
        <v>0.0017954282407407407</v>
      </c>
      <c r="C35" s="75">
        <f t="shared" si="4"/>
        <v>754.7880035174685</v>
      </c>
      <c r="D35" s="76">
        <f t="shared" si="1"/>
        <v>42896.79992130381</v>
      </c>
      <c r="E35" s="74">
        <f t="shared" si="2"/>
        <v>0.0010561342592592593</v>
      </c>
      <c r="F35" s="75">
        <f t="shared" si="5"/>
        <v>668.1352426667069</v>
      </c>
      <c r="G35" s="76">
        <f t="shared" si="6"/>
        <v>38824.515233855884</v>
      </c>
      <c r="H35" s="82">
        <f t="shared" si="7"/>
        <v>25</v>
      </c>
      <c r="I35" s="8">
        <f t="shared" si="8"/>
        <v>0.0027459490740740743</v>
      </c>
      <c r="J35" s="83">
        <f t="shared" si="3"/>
        <v>45456.071180254534</v>
      </c>
      <c r="K35" s="8">
        <v>25</v>
      </c>
      <c r="L35" s="83">
        <f t="shared" si="9"/>
        <v>45456.071180254534</v>
      </c>
      <c r="M35" s="83">
        <f t="shared" si="16"/>
        <v>822.7615336887487</v>
      </c>
      <c r="N35" s="83">
        <f t="shared" si="17"/>
        <v>822.7615336887487</v>
      </c>
      <c r="O35" s="80"/>
      <c r="P35" s="84">
        <v>0.0325</v>
      </c>
      <c r="Y35" s="111"/>
      <c r="Z35" s="111"/>
      <c r="AA35" s="111"/>
      <c r="AB35" s="111"/>
    </row>
    <row r="36" spans="1:28" ht="12.75">
      <c r="A36" s="74">
        <v>26</v>
      </c>
      <c r="B36" s="74">
        <f t="shared" si="0"/>
        <v>0.0017954282407407407</v>
      </c>
      <c r="C36" s="75">
        <f t="shared" si="4"/>
        <v>754.7880035174685</v>
      </c>
      <c r="D36" s="76">
        <f t="shared" si="1"/>
        <v>34682.76422676266</v>
      </c>
      <c r="E36" s="74">
        <f t="shared" si="2"/>
        <v>0.0010561342592592593</v>
      </c>
      <c r="F36" s="75">
        <f t="shared" si="5"/>
        <v>668.1352426667069</v>
      </c>
      <c r="G36" s="76">
        <f t="shared" si="6"/>
        <v>31255.070766890465</v>
      </c>
      <c r="H36" s="82">
        <f t="shared" si="7"/>
        <v>26</v>
      </c>
      <c r="I36" s="8">
        <f t="shared" si="8"/>
        <v>0.0025347222222222225</v>
      </c>
      <c r="J36" s="83">
        <f t="shared" si="3"/>
        <v>36908.65134725877</v>
      </c>
      <c r="K36" s="85">
        <v>26</v>
      </c>
      <c r="L36" s="83">
        <f>IF(L35=0,0,(IF((L35*((1+I36)^12)-(M36)*((((1+I36)^12)-1)/I36)&lt;0),0,(L35*((1+I36)^12)-(M36)*((((1+I36)^12)-1)/I36)))))</f>
        <v>36908.65134725877</v>
      </c>
      <c r="M36" s="83">
        <f t="shared" si="16"/>
        <v>817.628019039355</v>
      </c>
      <c r="N36" s="83">
        <f t="shared" si="17"/>
        <v>817.628019039355</v>
      </c>
      <c r="O36" s="80"/>
      <c r="P36" s="84">
        <v>0.03</v>
      </c>
      <c r="Y36" s="100"/>
      <c r="Z36" s="100"/>
      <c r="AA36" s="100"/>
      <c r="AB36" s="100"/>
    </row>
    <row r="37" spans="1:16" ht="12.75">
      <c r="A37" s="74">
        <v>27</v>
      </c>
      <c r="B37" s="74">
        <f t="shared" si="0"/>
        <v>0.0017954282407407407</v>
      </c>
      <c r="C37" s="75">
        <f t="shared" si="4"/>
        <v>754.7880035174685</v>
      </c>
      <c r="D37" s="76">
        <f t="shared" si="1"/>
        <v>26289.997912906707</v>
      </c>
      <c r="E37" s="74">
        <f t="shared" si="2"/>
        <v>0.0010561342592592593</v>
      </c>
      <c r="F37" s="75">
        <f t="shared" si="5"/>
        <v>668.1352426667069</v>
      </c>
      <c r="G37" s="76">
        <f t="shared" si="6"/>
        <v>23589.134892971786</v>
      </c>
      <c r="H37" s="82">
        <f t="shared" si="7"/>
        <v>27</v>
      </c>
      <c r="I37" s="8">
        <f t="shared" si="8"/>
        <v>0.002957175925925926</v>
      </c>
      <c r="J37" s="83">
        <f t="shared" si="3"/>
        <v>28165.974489304055</v>
      </c>
      <c r="K37" s="85">
        <v>27</v>
      </c>
      <c r="L37" s="83">
        <f>IF(L36=0,0,(IF((L36*((1+I37)^12)-(M37)*((((1+I37)^12)-1)/I37)&lt;0),0,(L36*((1+I37)^12)-(M37)*((((1+I37)^12)-1)/I37)))))</f>
        <v>28165.974489304055</v>
      </c>
      <c r="M37" s="83">
        <f t="shared" si="16"/>
        <v>825.9280071951553</v>
      </c>
      <c r="N37" s="83">
        <f t="shared" si="17"/>
        <v>825.9280071951553</v>
      </c>
      <c r="O37" s="80"/>
      <c r="P37" s="84">
        <v>0.035</v>
      </c>
    </row>
    <row r="38" spans="1:16" ht="12.75">
      <c r="A38" s="74">
        <v>28</v>
      </c>
      <c r="B38" s="74">
        <f t="shared" si="0"/>
        <v>0.0017954282407407407</v>
      </c>
      <c r="C38" s="75">
        <f t="shared" si="4"/>
        <v>754.7880035174685</v>
      </c>
      <c r="D38" s="76">
        <f t="shared" si="1"/>
        <v>17714.61194936544</v>
      </c>
      <c r="E38" s="74">
        <f t="shared" si="2"/>
        <v>0.0010561342592592593</v>
      </c>
      <c r="F38" s="75">
        <f t="shared" si="5"/>
        <v>668.1352426667069</v>
      </c>
      <c r="G38" s="76">
        <f t="shared" si="6"/>
        <v>15825.477588990962</v>
      </c>
      <c r="H38" s="82">
        <f t="shared" si="7"/>
        <v>28</v>
      </c>
      <c r="I38" s="8">
        <f t="shared" si="8"/>
        <v>0.003168402777777778</v>
      </c>
      <c r="J38" s="83">
        <f t="shared" si="3"/>
        <v>19131.37699449526</v>
      </c>
      <c r="K38" s="85">
        <v>28</v>
      </c>
      <c r="L38" s="83">
        <f>IF(L37=0,0,(IF((L37*((1+I38)^12)-(M38)*((((1+I38)^12)-1)/I38)&lt;0),0,(L37*((1+I38)^12)-(M38)*((((1+I38)^12)-1)/I38)))))</f>
        <v>19131.37699449526</v>
      </c>
      <c r="M38" s="83">
        <f t="shared" si="16"/>
        <v>829.0942948795665</v>
      </c>
      <c r="N38" s="83">
        <f t="shared" si="17"/>
        <v>829.0942948795665</v>
      </c>
      <c r="O38" s="80"/>
      <c r="P38" s="84">
        <v>0.0375</v>
      </c>
    </row>
    <row r="39" spans="1:16" ht="12.75">
      <c r="A39" s="74">
        <v>29</v>
      </c>
      <c r="B39" s="74">
        <f t="shared" si="0"/>
        <v>0.0017954282407407407</v>
      </c>
      <c r="C39" s="75">
        <f t="shared" si="4"/>
        <v>754.7880035174685</v>
      </c>
      <c r="D39" s="76">
        <f t="shared" si="1"/>
        <v>8952.632683685768</v>
      </c>
      <c r="E39" s="74">
        <f t="shared" si="2"/>
        <v>0.0010561342592592593</v>
      </c>
      <c r="F39" s="75">
        <f t="shared" si="5"/>
        <v>668.1352426667069</v>
      </c>
      <c r="G39" s="76">
        <f t="shared" si="6"/>
        <v>7962.853152133561</v>
      </c>
      <c r="H39" s="82">
        <f t="shared" si="7"/>
        <v>29</v>
      </c>
      <c r="I39" s="8">
        <f t="shared" si="8"/>
        <v>0.0033796296296296296</v>
      </c>
      <c r="J39" s="83">
        <f t="shared" si="3"/>
        <v>9759.305917010543</v>
      </c>
      <c r="K39" s="85">
        <v>29</v>
      </c>
      <c r="L39" s="83">
        <f>IF(L38=0,0,(IF((L38*((1+I39)^12)-(M39)*((((1+I39)^12)-1)/I39)&lt;0),0,(L38*((1+I39)^12)-(M39)*((((1+I39)^12)-1)/I39)))))</f>
        <v>9759.305917010543</v>
      </c>
      <c r="M39" s="83">
        <f t="shared" si="16"/>
        <v>831.2517037927629</v>
      </c>
      <c r="N39" s="83">
        <f t="shared" si="17"/>
        <v>831.2517037927629</v>
      </c>
      <c r="O39" s="80"/>
      <c r="P39" s="84">
        <v>0.04</v>
      </c>
    </row>
    <row r="40" spans="1:16" ht="13.5" thickBot="1">
      <c r="A40" s="86">
        <v>30</v>
      </c>
      <c r="B40" s="86">
        <f t="shared" si="0"/>
        <v>0.0017954282407407407</v>
      </c>
      <c r="C40" s="87">
        <f t="shared" si="4"/>
        <v>754.7880035174685</v>
      </c>
      <c r="D40" s="88">
        <f t="shared" si="1"/>
        <v>2.5569534045644104E-08</v>
      </c>
      <c r="E40" s="86">
        <f t="shared" si="2"/>
        <v>0.0010561342592592593</v>
      </c>
      <c r="F40" s="87">
        <f t="shared" si="5"/>
        <v>668.1352426667069</v>
      </c>
      <c r="G40" s="88">
        <f t="shared" si="6"/>
        <v>2.7430360205471516E-09</v>
      </c>
      <c r="H40" s="89">
        <f t="shared" si="7"/>
        <v>30</v>
      </c>
      <c r="I40" s="90">
        <f>P40/12/360*360</f>
        <v>0.0034375</v>
      </c>
      <c r="J40" s="91">
        <f t="shared" si="3"/>
        <v>0</v>
      </c>
      <c r="K40" s="92">
        <v>30</v>
      </c>
      <c r="L40" s="91">
        <f>IF(L39=0,0,(IF((L39*((1+I40)^12)-(M40)*((((1+I40)^12)-1)/I40)&lt;0),0,(L39*((1+I40)^12)-(M40)*((((1+I40)^12)-1)/I40)))))</f>
        <v>0</v>
      </c>
      <c r="M40" s="91">
        <f t="shared" si="16"/>
        <v>831.8170152134294</v>
      </c>
      <c r="N40" s="91">
        <f t="shared" si="17"/>
        <v>831.8170152134294</v>
      </c>
      <c r="O40" s="93"/>
      <c r="P40" s="94">
        <v>0.04125</v>
      </c>
    </row>
    <row r="41" spans="5:14" ht="12.75" customHeight="1" hidden="1">
      <c r="E41" s="95">
        <f t="shared" si="2"/>
        <v>0.0010561342592592593</v>
      </c>
      <c r="M41" s="6">
        <f>(SUM(M11:M40))*12</f>
        <v>279218.2910651492</v>
      </c>
      <c r="N41" s="6">
        <f>(SUM(N11:N40))*12</f>
        <v>279218.2910651492</v>
      </c>
    </row>
    <row r="42" spans="12:15" ht="12.75">
      <c r="L42" s="1" t="s">
        <v>6</v>
      </c>
      <c r="O42" s="7">
        <f>IF(M41-N41-(SUM(O11:O40))&lt;0,0,(M41-N41-(SUM(O11:O40))))</f>
        <v>0</v>
      </c>
    </row>
    <row r="43" ht="12.75">
      <c r="A43" s="5" t="s">
        <v>22</v>
      </c>
    </row>
    <row r="44" ht="12.75">
      <c r="A44" s="5" t="s">
        <v>11</v>
      </c>
    </row>
    <row r="45" spans="1:20" ht="12.75">
      <c r="A45" s="109" t="s">
        <v>7</v>
      </c>
      <c r="B45" s="109"/>
      <c r="C45" s="109"/>
      <c r="D45" s="109"/>
      <c r="E45" s="109"/>
      <c r="F45" s="109"/>
      <c r="G45" s="109"/>
      <c r="H45" s="109"/>
      <c r="I45" s="109"/>
      <c r="J45" s="109"/>
      <c r="K45" s="109"/>
      <c r="L45" s="109"/>
      <c r="M45" s="109"/>
      <c r="N45" s="109"/>
      <c r="O45" s="109"/>
      <c r="P45" s="109"/>
      <c r="Q45" s="109"/>
      <c r="R45" s="109"/>
      <c r="S45" s="109"/>
      <c r="T45" s="109"/>
    </row>
    <row r="46" spans="1:20" ht="12.75">
      <c r="A46" s="109"/>
      <c r="B46" s="109"/>
      <c r="C46" s="109"/>
      <c r="D46" s="109"/>
      <c r="E46" s="109"/>
      <c r="F46" s="109"/>
      <c r="G46" s="109"/>
      <c r="H46" s="109"/>
      <c r="I46" s="109"/>
      <c r="J46" s="109"/>
      <c r="K46" s="109"/>
      <c r="L46" s="109"/>
      <c r="M46" s="109"/>
      <c r="N46" s="109"/>
      <c r="O46" s="109"/>
      <c r="P46" s="109"/>
      <c r="Q46" s="109"/>
      <c r="R46" s="109"/>
      <c r="S46" s="109"/>
      <c r="T46" s="109"/>
    </row>
    <row r="47" spans="1:20" ht="12.75">
      <c r="A47" s="109"/>
      <c r="B47" s="109"/>
      <c r="C47" s="109"/>
      <c r="D47" s="109"/>
      <c r="E47" s="109"/>
      <c r="F47" s="109"/>
      <c r="G47" s="109"/>
      <c r="H47" s="109"/>
      <c r="I47" s="109"/>
      <c r="J47" s="109"/>
      <c r="K47" s="109"/>
      <c r="L47" s="109"/>
      <c r="M47" s="109"/>
      <c r="N47" s="109"/>
      <c r="O47" s="109"/>
      <c r="P47" s="109"/>
      <c r="Q47" s="109"/>
      <c r="R47" s="109"/>
      <c r="S47" s="109"/>
      <c r="T47" s="109"/>
    </row>
    <row r="66" spans="11:14" ht="12.75">
      <c r="K66" s="96"/>
      <c r="L66" s="96"/>
      <c r="M66" s="96"/>
      <c r="N66" s="96"/>
    </row>
  </sheetData>
  <sheetProtection password="CACD" sheet="1" selectLockedCells="1"/>
  <mergeCells count="13">
    <mergeCell ref="T4:V4"/>
    <mergeCell ref="T5:V5"/>
    <mergeCell ref="Y9:AB11"/>
    <mergeCell ref="A3:C3"/>
    <mergeCell ref="H8:S8"/>
    <mergeCell ref="T8:W8"/>
    <mergeCell ref="A45:T47"/>
    <mergeCell ref="Y14:AB19"/>
    <mergeCell ref="Y21:AB27"/>
    <mergeCell ref="A4:C4"/>
    <mergeCell ref="A5:C5"/>
    <mergeCell ref="A6:C6"/>
    <mergeCell ref="Y30:AB35"/>
  </mergeCells>
  <printOptions/>
  <pageMargins left="0.25" right="0.25" top="0.75" bottom="0.75" header="0.3" footer="0.3"/>
  <pageSetup horizontalDpi="600" verticalDpi="600" orientation="landscape" paperSize="9" scale="67"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UniCredit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Doris Haydn</dc:creator>
  <cp:keywords/>
  <dc:description/>
  <cp:lastModifiedBy>Reinhardt Alexander</cp:lastModifiedBy>
  <cp:lastPrinted>2014-03-28T07:54:24Z</cp:lastPrinted>
  <dcterms:created xsi:type="dcterms:W3CDTF">2011-05-20T07:37:43Z</dcterms:created>
  <dcterms:modified xsi:type="dcterms:W3CDTF">2017-10-18T15:56:19Z</dcterms:modified>
  <cp:category/>
  <cp:version/>
  <cp:contentType/>
  <cp:contentStatus/>
</cp:coreProperties>
</file>